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995" windowWidth="14940" windowHeight="4560" activeTab="1"/>
  </bookViews>
  <sheets>
    <sheet name="概要 " sheetId="1" r:id="rId1"/>
    <sheet name="入力SHEET" sheetId="2" r:id="rId2"/>
    <sheet name="分析結果" sheetId="3" r:id="rId3"/>
    <sheet name="分析過程" sheetId="4" r:id="rId4"/>
    <sheet name="詳細・ｸﾞﾗﾌ" sheetId="5" r:id="rId5"/>
    <sheet name="直波・民消" sheetId="6" state="hidden" r:id="rId6"/>
    <sheet name="投入係数表" sheetId="7" state="hidden" r:id="rId7"/>
    <sheet name="逆行列係数表" sheetId="8" state="hidden" r:id="rId8"/>
  </sheets>
  <definedNames>
    <definedName name="_xlnm.Print_Area" localSheetId="4">'詳細・ｸﾞﾗﾌ'!$A$1:$AD$139</definedName>
    <definedName name="_xlnm.Print_Area" localSheetId="3">'分析過程'!$A$1:$AS$103</definedName>
    <definedName name="_xlnm.Print_Titles" localSheetId="7">'逆行列係数表'!$A:$B,'逆行列係数表'!$1:$2</definedName>
    <definedName name="_xlnm.Print_Titles" localSheetId="6">'投入係数表'!$A:$B,'投入係数表'!$1:$2</definedName>
  </definedNames>
  <calcPr calcMode="manual" fullCalcOnLoad="1"/>
</workbook>
</file>

<file path=xl/sharedStrings.xml><?xml version="1.0" encoding="utf-8"?>
<sst xmlns="http://schemas.openxmlformats.org/spreadsheetml/2006/main" count="483" uniqueCount="228">
  <si>
    <t>中間投入率</t>
  </si>
  <si>
    <t>粗付加価値率</t>
  </si>
  <si>
    <t>雇用者所得率</t>
  </si>
  <si>
    <t>県内自給率</t>
  </si>
  <si>
    <t>農林水産業</t>
  </si>
  <si>
    <t>鉱業</t>
  </si>
  <si>
    <t>食料品</t>
  </si>
  <si>
    <t>繊維製品</t>
  </si>
  <si>
    <t>ﾊﾟﾙﾌﾟ･紙･木製品</t>
  </si>
  <si>
    <t>化学製品</t>
  </si>
  <si>
    <t>石油･石炭製品</t>
  </si>
  <si>
    <t>窯業･土石製品</t>
  </si>
  <si>
    <t>鉄鋼</t>
  </si>
  <si>
    <t>非鉄金属</t>
  </si>
  <si>
    <t>金属製品</t>
  </si>
  <si>
    <t>一般機械</t>
  </si>
  <si>
    <t>電気機械</t>
  </si>
  <si>
    <t>輸送機械</t>
  </si>
  <si>
    <t>精密機械</t>
  </si>
  <si>
    <t>その他の製造工業</t>
  </si>
  <si>
    <t>建設</t>
  </si>
  <si>
    <t>電力･ｶﾞｽ･熱供給</t>
  </si>
  <si>
    <t>水道･廃棄物処理</t>
  </si>
  <si>
    <t>商業</t>
  </si>
  <si>
    <t>金融･保険</t>
  </si>
  <si>
    <t>不動産</t>
  </si>
  <si>
    <t>運輸</t>
  </si>
  <si>
    <t>通信･放送</t>
  </si>
  <si>
    <t>公務</t>
  </si>
  <si>
    <t>教育･研究</t>
  </si>
  <si>
    <t>医療･保健･社会保障</t>
  </si>
  <si>
    <t>その他の公共ｻｰﾋﾞｽ</t>
  </si>
  <si>
    <t>対事業所ｻｰﾋﾞｽ</t>
  </si>
  <si>
    <t>対個人ｻｰﾋﾞｽ</t>
  </si>
  <si>
    <t>事務用品</t>
  </si>
  <si>
    <t>分類不明</t>
  </si>
  <si>
    <t>生産誘発係数</t>
  </si>
  <si>
    <t>粗付加価値誘発係数</t>
  </si>
  <si>
    <t>電気･ｶﾞｽ･熱供給</t>
  </si>
  <si>
    <t>内生部門計</t>
  </si>
  <si>
    <t>┌----------------直接波及係数----------------┐</t>
  </si>
  <si>
    <t>注）開放型を使用！</t>
  </si>
  <si>
    <t>経済波及効果分析の概要</t>
  </si>
  <si>
    <t>Ⅰ．</t>
  </si>
  <si>
    <t>分析にあたっての前提条件</t>
  </si>
  <si>
    <t>①</t>
  </si>
  <si>
    <t>②</t>
  </si>
  <si>
    <t>③</t>
  </si>
  <si>
    <t>④</t>
  </si>
  <si>
    <t>Ⅱ．</t>
  </si>
  <si>
    <t>分析対象となる波及効果</t>
  </si>
  <si>
    <t>①直接効果</t>
  </si>
  <si>
    <t>②第1次間接効果</t>
  </si>
  <si>
    <t>③第2次間接効果</t>
  </si>
  <si>
    <t>Ⅲ．</t>
  </si>
  <si>
    <t>用語説明</t>
  </si>
  <si>
    <t>中間投入…財貨･ｻｰﾋﾞｽが原材料や燃料等の中間財として取り引きされる投入額</t>
  </si>
  <si>
    <t>中間需要…財貨･ｻｰﾋﾞｽが原材料や燃料等の中間財として取り引きされる需要額</t>
  </si>
  <si>
    <t>粗付加価値…財貨･ｻｰﾋﾞｽが消費や投資等の最終財として取り引きされる投入額</t>
  </si>
  <si>
    <t>最終需要…財貨･ｻｰﾋﾞｽが消費や投資等の最終財として取り引きされる需要額</t>
  </si>
  <si>
    <t>内生部門…中間需要と中間投入の枠で､囲まれた原材料や燃料の取引を表す部分</t>
  </si>
  <si>
    <t>外生部門…最終需要と粗付加価値で､理論ﾓﾃﾞﾙの体系外から大きさが決定される部分</t>
  </si>
  <si>
    <t>投入係数…財貨･ｻｰﾋﾞｽの生産に投入された原材料等の量を､生産量で除した比率</t>
  </si>
  <si>
    <t>粗付加価値係数…財貨･ｻｰﾋﾞｽの粗付加価値の量を､生産量で除した比率</t>
  </si>
  <si>
    <t>　　　　　　産業の生産量を､もとの最終需要の量を1単位として表した比率</t>
  </si>
  <si>
    <t>生産誘発額…ある産業部門の県内生産額がどの最終需要項目によってどれだけ誘発されたものであるかみたもの</t>
  </si>
  <si>
    <t>粗付加価値誘発額…ある産業部門の粗付加価値額がどの最終需要項目によってどれだけ誘発されたものであるかみたもの</t>
  </si>
  <si>
    <t>雇用者所得誘発額…ある産業部門の雇用者所得額がどの最終需要項目によってどれだけ誘発されたものであるかみたもの</t>
  </si>
  <si>
    <t>逆行列係数表は開放経済型を使用</t>
  </si>
  <si>
    <t>＝</t>
  </si>
  <si>
    <t>×</t>
  </si>
  <si>
    <t>億円</t>
  </si>
  <si>
    <t>直接波及効果分析</t>
  </si>
  <si>
    <t>発生需要額とその単位を下の青枠内に入力する。</t>
  </si>
  <si>
    <t>Ⅰ.</t>
  </si>
  <si>
    <t>Ⅲ.</t>
  </si>
  <si>
    <t>第１次間接効果分析</t>
  </si>
  <si>
    <t>×</t>
  </si>
  <si>
    <t>＝</t>
  </si>
  <si>
    <t>第２次間接効果分析</t>
  </si>
  <si>
    <t>＋</t>
  </si>
  <si>
    <t>生産誘発額</t>
  </si>
  <si>
    <t>粗付加価値誘発額</t>
  </si>
  <si>
    <t>雇用者所得誘発額</t>
  </si>
  <si>
    <t>第２次間接効果</t>
  </si>
  <si>
    <t>第１次間接効果</t>
  </si>
  <si>
    <t>直　接　効　果</t>
  </si>
  <si>
    <t>合　　　　　計</t>
  </si>
  <si>
    <t>☆分析結果☆</t>
  </si>
  <si>
    <t>☆分析にあたっての前提条件☆</t>
  </si>
  <si>
    <t>前のシート｢入力SHEET｣にデータを入力し、後は｢分析結果｣をプリントアウトすると結果はすぐに出てきます。しかし、内容を理解するのが大切なことなので、ぜひこのシートの手順及び赤枠内の計算式・関数を参照し理解して下さい。</t>
  </si>
  <si>
    <t>【波及効果表】</t>
  </si>
  <si>
    <t>　③逆行列係数表は開放経済型を使用する。</t>
  </si>
  <si>
    <t>第２次間接効果</t>
  </si>
  <si>
    <t>合計</t>
  </si>
  <si>
    <t>合　　　計</t>
  </si>
  <si>
    <t>産業別雇用者所得誘発額</t>
  </si>
  <si>
    <t>産業別粗付加価値誘発額</t>
  </si>
  <si>
    <t>産業別生産誘発額</t>
  </si>
  <si>
    <t>RANK</t>
  </si>
  <si>
    <t>RANK</t>
  </si>
  <si>
    <t>その他の公共ｻｰﾋﾞｽ</t>
  </si>
  <si>
    <t xml:space="preserve">対事業所ｻｰﾋﾞｽ    </t>
  </si>
  <si>
    <t xml:space="preserve">対個人ｻｰﾋﾞｽ      </t>
  </si>
  <si>
    <t xml:space="preserve">事務用品         </t>
  </si>
  <si>
    <t xml:space="preserve">分類不明         </t>
  </si>
  <si>
    <t xml:space="preserve">教育･研究        </t>
  </si>
  <si>
    <t xml:space="preserve">公務             </t>
  </si>
  <si>
    <t xml:space="preserve">通信･放送        </t>
  </si>
  <si>
    <t xml:space="preserve">運輸             </t>
  </si>
  <si>
    <t xml:space="preserve">不動産           </t>
  </si>
  <si>
    <t xml:space="preserve">金融･保険        </t>
  </si>
  <si>
    <t xml:space="preserve">商業             </t>
  </si>
  <si>
    <t xml:space="preserve">電力･ｶﾞｽ･熱供給  </t>
  </si>
  <si>
    <t xml:space="preserve">建設             </t>
  </si>
  <si>
    <t xml:space="preserve">その他の製造工業  </t>
  </si>
  <si>
    <t xml:space="preserve">精密機械         </t>
  </si>
  <si>
    <t xml:space="preserve">輸送機械         </t>
  </si>
  <si>
    <t xml:space="preserve">電気機械         </t>
  </si>
  <si>
    <t xml:space="preserve">一般機械         </t>
  </si>
  <si>
    <t xml:space="preserve">金属製品         </t>
  </si>
  <si>
    <t xml:space="preserve">非鉄金属         </t>
  </si>
  <si>
    <t xml:space="preserve">鉄鋼             </t>
  </si>
  <si>
    <t xml:space="preserve">窯業･土石製品    </t>
  </si>
  <si>
    <t xml:space="preserve">石油･石炭製品    </t>
  </si>
  <si>
    <t xml:space="preserve">化学製品         </t>
  </si>
  <si>
    <t xml:space="preserve">ﾊﾟﾙﾌﾟ･紙･木製品  </t>
  </si>
  <si>
    <t xml:space="preserve">繊維製品         </t>
  </si>
  <si>
    <t xml:space="preserve">食料品           </t>
  </si>
  <si>
    <t xml:space="preserve">鉱業             </t>
  </si>
  <si>
    <t xml:space="preserve">農林水産業       </t>
  </si>
  <si>
    <t>医療･保健･社会保障</t>
  </si>
  <si>
    <t xml:space="preserve">水道･廃棄物処理   </t>
  </si>
  <si>
    <t>第１次産業(1)</t>
  </si>
  <si>
    <t>第２次産業(2-17,31)</t>
  </si>
  <si>
    <t>第３次産業(18-30,32)</t>
  </si>
  <si>
    <t>　②波及は第２次間接効果までとする。（１年間とは限らない）</t>
  </si>
  <si>
    <t>民間消費支出構成比</t>
  </si>
  <si>
    <t>┌-------民間消費支出-------┐</t>
  </si>
  <si>
    <t>民間消費支出</t>
  </si>
  <si>
    <t>⑥</t>
  </si>
  <si>
    <t>⑦</t>
  </si>
  <si>
    <t>単位（万）</t>
  </si>
  <si>
    <t>直接効果</t>
  </si>
  <si>
    <t>間接波及効果</t>
  </si>
  <si>
    <t>　生産誘発額＝消費支出×逆行列係数</t>
  </si>
  <si>
    <t>産業分類表　</t>
  </si>
  <si>
    <t>番号</t>
  </si>
  <si>
    <t>産業分類名</t>
  </si>
  <si>
    <t>産業分類</t>
  </si>
  <si>
    <t>左の産業分類表から試算する該当産業の番号を下の青枠内に入力する。</t>
  </si>
  <si>
    <t>Ⅱ.</t>
  </si>
  <si>
    <t>・発生需要額</t>
  </si>
  <si>
    <t>・単位</t>
  </si>
  <si>
    <t>・家計調査年</t>
  </si>
  <si>
    <t>・平均消費性向は</t>
  </si>
  <si>
    <t>平均消費性向</t>
  </si>
  <si>
    <t>中間投入</t>
  </si>
  <si>
    <t>〓</t>
  </si>
  <si>
    <t>その部門の中間投入率</t>
  </si>
  <si>
    <t>需要</t>
  </si>
  <si>
    <t>粗付加価値</t>
  </si>
  <si>
    <t>雇用者所得</t>
  </si>
  <si>
    <t>その部門の粗付加価値率</t>
  </si>
  <si>
    <t>その部門の雇用者所得率</t>
  </si>
  <si>
    <t>各原材料等の県内自給率</t>
  </si>
  <si>
    <t>中間投入率</t>
  </si>
  <si>
    <t>需要額</t>
  </si>
  <si>
    <t>×</t>
  </si>
  <si>
    <t>①</t>
  </si>
  <si>
    <t>県内需要増加額</t>
  </si>
  <si>
    <t>生産誘発額</t>
  </si>
  <si>
    <t>生産誘発額</t>
  </si>
  <si>
    <t>県内需要増加分</t>
  </si>
  <si>
    <t>粗付加価値誘発額</t>
  </si>
  <si>
    <t>雇用者所得誘発額</t>
  </si>
  <si>
    <t>第1次間接効果分</t>
  </si>
  <si>
    <t>直接効果分</t>
  </si>
  <si>
    <t>雇用者所得合計</t>
  </si>
  <si>
    <t>消費支出</t>
  </si>
  <si>
    <t>平均消費性向</t>
  </si>
  <si>
    <t>消費支出</t>
  </si>
  <si>
    <t>③</t>
  </si>
  <si>
    <t>産業別民間消費額</t>
  </si>
  <si>
    <t>産業別民間消費額</t>
  </si>
  <si>
    <t>県内需要増加額</t>
  </si>
  <si>
    <t>④</t>
  </si>
  <si>
    <t>⑤</t>
  </si>
  <si>
    <t>生産誘発額</t>
  </si>
  <si>
    <t>民間消費支出の粗付加価値誘発係数</t>
  </si>
  <si>
    <t>その部門の雇用者所得率</t>
  </si>
  <si>
    <t>生産誘発額</t>
  </si>
  <si>
    <t>雇用者所得誘発額</t>
  </si>
  <si>
    <t>その部門の逆行列係数</t>
  </si>
  <si>
    <t>民間消費支出の生産誘発</t>
  </si>
  <si>
    <t>平均消費性向値（％）</t>
  </si>
  <si>
    <t>「産業分類表」の下段の表の時点修正をすること。</t>
  </si>
  <si>
    <t>実際に入力するのはこのシートの下の青枠全４カ所のみです。</t>
  </si>
  <si>
    <t>お問い合わせはこちらまで</t>
  </si>
  <si>
    <t>理　　　　　　　　　　　由</t>
  </si>
  <si>
    <t>経済波及効果の分析は第２次間接効果までとする</t>
  </si>
  <si>
    <t>実際は３次､４次と続くが、効果が微妙になる上、発生時期についても極めて曖昧であるため</t>
  </si>
  <si>
    <t>移輸入を考慮しない封鎖型経済よりも考慮した開放型経済を想定した方が、より精緻なデータが得られるため</t>
  </si>
  <si>
    <t>平均消費性向は家計調査の金沢市勤労者世帯の平均消費性向によるものとし、産業連関表の民間消費支出と同じ構成比の消費が行われるものと仮定する</t>
  </si>
  <si>
    <t>　中間投入＝需要×その部門の中間投入率</t>
  </si>
  <si>
    <t>　粗付加価値＝需要×その部門の粗付加価値率</t>
  </si>
  <si>
    <t>　雇用者所得＝需要×その部門の雇用者所得率</t>
  </si>
  <si>
    <t>　県内需要増加額＝中間投入×各原材料等の県内自給率</t>
  </si>
  <si>
    <t>　生産誘発額＝県内需要増加額×逆行列係数</t>
  </si>
  <si>
    <t>　粗付加価値誘発額＝生産誘発額×その部門の粗付加価値率</t>
  </si>
  <si>
    <t>　雇用者所得誘発額＝生産誘発額×その部門の雇用者所得率</t>
  </si>
  <si>
    <t>　雇用者所得合計＝直接効果分＋第1次間接効果分</t>
  </si>
  <si>
    <t>　消費支出＝雇用者所得合計×平均消費性向</t>
  </si>
  <si>
    <t>　粗付加価値誘発額＝消費支出×民間消費支出の粗付加価値誘発係数</t>
  </si>
  <si>
    <t>　雇用者所得誘発額＝生産誘発額×その部門の雇用者所得率</t>
  </si>
  <si>
    <t>逆行列係数…ある産業に１単位の最終需要が追加された場合､この最終需要を満たすために直接・間接に必要なさまざまな</t>
  </si>
  <si>
    <t>　ＴＥＬ　（０７６）２２５－１３４１</t>
  </si>
  <si>
    <t>　ＦＡＸ　（０７６）２２５－１３４５</t>
  </si>
  <si>
    <t>平成12年石川県産業連関表の統合大分類32部門表を使用</t>
  </si>
  <si>
    <t>　①平成12年石川県産業連関表の統合大分類表を使用する。</t>
  </si>
  <si>
    <t>石川県</t>
  </si>
  <si>
    <t>全国</t>
  </si>
  <si>
    <t>・計算に使用する地域</t>
  </si>
  <si>
    <t>↑クリックして選択</t>
  </si>
  <si>
    <t>年</t>
  </si>
  <si>
    <t xml:space="preserve">  E-mail　toukei@pref.ishikawa.lg.jp</t>
  </si>
  <si>
    <t>（「家計調査」（二人以上世帯－勤労者世帯））</t>
  </si>
  <si>
    <t>石川県県民文化局県民交流課統計情報室統計分析グループ</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</si>
</sst>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Red]\-#,##0.000000\ "/>
    <numFmt numFmtId="177" formatCode="#,##0.0000000_ ;[Red]\-#,##0.0000000\ "/>
    <numFmt numFmtId="178" formatCode="#,##0.00000000_ ;[Red]\-#,##0.00000000\ "/>
    <numFmt numFmtId="179" formatCode="#,##0.00000_ ;[Red]\-#,##0.00000\ "/>
    <numFmt numFmtId="180" formatCode="#,##0.0000_ ;[Red]\-#,##0.0000\ "/>
    <numFmt numFmtId="181" formatCode="#,##0.000_ ;[Red]\-#,##0.000\ "/>
    <numFmt numFmtId="182" formatCode="#,##0.00_ ;[Red]\-#,##0.00\ "/>
    <numFmt numFmtId="183" formatCode="#,##0.0_ ;[Red]\-#,##0.0\ "/>
    <numFmt numFmtId="184" formatCode="#,##0_ ;[Red]\-#,##0\ "/>
    <numFmt numFmtId="185" formatCode="0.0000"/>
    <numFmt numFmtId="186" formatCode="0.000"/>
    <numFmt numFmtId="187" formatCode="0.0"/>
    <numFmt numFmtId="188" formatCode="0.00000"/>
    <numFmt numFmtId="189" formatCode="0.000000"/>
    <numFmt numFmtId="190" formatCode="0.0%"/>
    <numFmt numFmtId="191" formatCode="0.0000000"/>
    <numFmt numFmtId="192" formatCode="0.0_);[Red]\(0.0\)"/>
    <numFmt numFmtId="193" formatCode="0.0000000000000_);[Red]\(0.0000000000000\)"/>
    <numFmt numFmtId="194" formatCode="0.000000000000_);[Red]\(0.000000000000\)"/>
    <numFmt numFmtId="195" formatCode="0.00000000000_);[Red]\(0.00000000000\)"/>
    <numFmt numFmtId="196" formatCode="0.0000000000_);[Red]\(0.0000000000\)"/>
    <numFmt numFmtId="197" formatCode="0.000000000_);[Red]\(0.000000000\)"/>
    <numFmt numFmtId="198" formatCode="0.00000000_);[Red]\(0.00000000\)"/>
    <numFmt numFmtId="199" formatCode="0.0000000_);[Red]\(0.0000000\)"/>
    <numFmt numFmtId="200" formatCode="0.000000_);[Red]\(0.000000\)"/>
    <numFmt numFmtId="201" formatCode="0.00000_);[Red]\(0.00000\)"/>
    <numFmt numFmtId="202" formatCode="0.0000_);[Red]\(0.0000\)"/>
    <numFmt numFmtId="203" formatCode="0.000_);[Red]\(0.000\)"/>
    <numFmt numFmtId="204" formatCode="0.00_);[Red]\(0.00\)"/>
    <numFmt numFmtId="205" formatCode="#,##0.0_ "/>
    <numFmt numFmtId="206" formatCode="#,##0.0;[Red]\-#,##0.0"/>
    <numFmt numFmtId="207" formatCode="#,##0.00000000000_ ;[Red]\-#,##0.00000000000\ "/>
    <numFmt numFmtId="208" formatCode="#,##0.0000000000_ ;[Red]\-#,##0.0000000000\ "/>
    <numFmt numFmtId="209" formatCode="#,##0_);[Red]\(#,##0\)"/>
    <numFmt numFmtId="210" formatCode="#,##0.00000_);[Red]\(#,##0.00000\)"/>
    <numFmt numFmtId="211" formatCode="#,##0.000000_);[Red]\(#,##0.000000\)"/>
    <numFmt numFmtId="212" formatCode="0.0_ "/>
    <numFmt numFmtId="213" formatCode="#,##0.0_);\(#,##0.0\)"/>
    <numFmt numFmtId="214" formatCode="0_);[Red]\(0\)"/>
    <numFmt numFmtId="215" formatCode="#,##0.0_);[Red]\(#,##0.0\)"/>
    <numFmt numFmtId="216" formatCode="&quot;Yes&quot;;&quot;Yes&quot;;&quot;No&quot;"/>
    <numFmt numFmtId="217" formatCode="&quot;True&quot;;&quot;True&quot;;&quot;False&quot;"/>
    <numFmt numFmtId="218" formatCode="&quot;On&quot;;&quot;On&quot;;&quot;Off&quot;"/>
    <numFmt numFmtId="219" formatCode="[$€-2]\ #,##0.00_);[Red]\([$€-2]\ #,##0.00\)"/>
  </numFmts>
  <fonts count="70">
    <font>
      <sz val="11"/>
      <name val="ＭＳ 明朝"/>
      <family val="1"/>
    </font>
    <font>
      <sz val="6"/>
      <name val="ＭＳ 明朝"/>
      <family val="1"/>
    </font>
    <font>
      <sz val="11"/>
      <color indexed="10"/>
      <name val="ＭＳ 明朝"/>
      <family val="1"/>
    </font>
    <font>
      <b/>
      <sz val="11"/>
      <color indexed="10"/>
      <name val="ＭＳ 明朝"/>
      <family val="1"/>
    </font>
    <font>
      <b/>
      <sz val="11"/>
      <name val="ＭＳ 明朝"/>
      <family val="1"/>
    </font>
    <font>
      <b/>
      <sz val="11"/>
      <color indexed="12"/>
      <name val="ＭＳ 明朝"/>
      <family val="1"/>
    </font>
    <font>
      <sz val="14"/>
      <name val="ＭＳ ゴシック"/>
      <family val="3"/>
    </font>
    <font>
      <sz val="14"/>
      <name val="ＭＳ 明朝"/>
      <family val="1"/>
    </font>
    <font>
      <sz val="16"/>
      <name val="ＭＳ ゴシック"/>
      <family val="3"/>
    </font>
    <font>
      <sz val="10"/>
      <name val="ＭＳ 明朝"/>
      <family val="1"/>
    </font>
    <font>
      <sz val="10"/>
      <name val="ＭＳ ゴシック"/>
      <family val="3"/>
    </font>
    <font>
      <sz val="12"/>
      <name val="ＭＳ 明朝"/>
      <family val="1"/>
    </font>
    <font>
      <sz val="9"/>
      <name val="ＭＳ 明朝"/>
      <family val="1"/>
    </font>
    <font>
      <sz val="16"/>
      <name val="ＭＳ 明朝"/>
      <family val="1"/>
    </font>
    <font>
      <b/>
      <sz val="14"/>
      <name val="ＭＳ 明朝"/>
      <family val="1"/>
    </font>
    <font>
      <sz val="11"/>
      <color indexed="14"/>
      <name val="ＭＳ 明朝"/>
      <family val="1"/>
    </font>
    <font>
      <b/>
      <sz val="11"/>
      <color indexed="14"/>
      <name val="ＭＳ 明朝"/>
      <family val="1"/>
    </font>
    <font>
      <sz val="11"/>
      <name val="ＭＳ ゴシック"/>
      <family val="3"/>
    </font>
    <font>
      <sz val="12"/>
      <name val="ＭＳ ゴシック"/>
      <family val="3"/>
    </font>
    <font>
      <b/>
      <sz val="12"/>
      <name val="ＭＳ 明朝"/>
      <family val="1"/>
    </font>
    <font>
      <sz val="12"/>
      <color indexed="53"/>
      <name val="ＭＳ 明朝"/>
      <family val="1"/>
    </font>
    <font>
      <u val="single"/>
      <sz val="11"/>
      <color indexed="12"/>
      <name val="ＭＳ 明朝"/>
      <family val="1"/>
    </font>
    <font>
      <u val="single"/>
      <sz val="11"/>
      <color indexed="36"/>
      <name val="ＭＳ 明朝"/>
      <family val="1"/>
    </font>
    <font>
      <sz val="8"/>
      <name val="ＭＳ 明朝"/>
      <family val="1"/>
    </font>
    <font>
      <sz val="15.5"/>
      <color indexed="8"/>
      <name val="ＭＳ 明朝"/>
      <family val="1"/>
    </font>
    <font>
      <sz val="8.25"/>
      <color indexed="8"/>
      <name val="ＭＳ ゴシック"/>
      <family val="3"/>
    </font>
    <font>
      <sz val="11"/>
      <color indexed="8"/>
      <name val="ＭＳ 明朝"/>
      <family val="1"/>
    </font>
    <font>
      <sz val="15.25"/>
      <color indexed="8"/>
      <name val="ＭＳ 明朝"/>
      <family val="1"/>
    </font>
    <font>
      <sz val="8"/>
      <color indexed="8"/>
      <name val="ＭＳ ゴシック"/>
      <family val="3"/>
    </font>
    <font>
      <sz val="11"/>
      <color indexed="8"/>
      <name val="ＭＳ Ｐゴシック"/>
      <family val="3"/>
    </font>
    <font>
      <b/>
      <sz val="18"/>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明朝"/>
      <family val="1"/>
    </font>
    <font>
      <b/>
      <sz val="11"/>
      <color indexed="30"/>
      <name val="ＭＳ 明朝"/>
      <family val="1"/>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明朝"/>
      <family val="1"/>
    </font>
    <font>
      <b/>
      <sz val="11"/>
      <color rgb="FF0070C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3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dashDot"/>
    </border>
    <border>
      <left style="medium"/>
      <right style="thin"/>
      <top style="thin"/>
      <bottom style="thin"/>
    </border>
    <border>
      <left>
        <color indexed="63"/>
      </left>
      <right style="medium"/>
      <top style="thin"/>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medium"/>
      <bottom style="mediu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color indexed="63"/>
      </left>
      <right>
        <color indexed="63"/>
      </right>
      <top style="medium">
        <color indexed="10"/>
      </top>
      <bottom style="medium">
        <color indexed="10"/>
      </bottom>
    </border>
    <border>
      <left style="thin">
        <color indexed="45"/>
      </left>
      <right style="thin">
        <color indexed="45"/>
      </right>
      <top style="thin">
        <color indexed="45"/>
      </top>
      <bottom style="thin">
        <color indexed="45"/>
      </bottom>
    </border>
    <border>
      <left>
        <color indexed="63"/>
      </left>
      <right>
        <color indexed="63"/>
      </right>
      <top style="thin"/>
      <bottom style="thin"/>
    </border>
    <border>
      <left style="thin"/>
      <right>
        <color indexed="63"/>
      </right>
      <top>
        <color indexed="63"/>
      </top>
      <bottom style="thin"/>
    </border>
    <border>
      <left style="dashed"/>
      <right style="thin"/>
      <top>
        <color indexed="63"/>
      </top>
      <bottom style="thin"/>
    </border>
    <border>
      <left style="thick">
        <color indexed="39"/>
      </left>
      <right>
        <color indexed="63"/>
      </right>
      <top>
        <color indexed="63"/>
      </top>
      <bottom>
        <color indexed="63"/>
      </bottom>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color indexed="45"/>
      </left>
      <right style="thin">
        <color indexed="45"/>
      </right>
      <top style="thin">
        <color indexed="45"/>
      </top>
      <bottom>
        <color indexed="63"/>
      </bottom>
    </border>
    <border>
      <left style="thin">
        <color indexed="45"/>
      </left>
      <right style="thin">
        <color indexed="45"/>
      </right>
      <top>
        <color indexed="63"/>
      </top>
      <bottom>
        <color indexed="63"/>
      </bottom>
    </border>
    <border>
      <left style="thin">
        <color indexed="45"/>
      </left>
      <right style="thin">
        <color indexed="45"/>
      </right>
      <top>
        <color indexed="63"/>
      </top>
      <bottom style="thin">
        <color indexed="45"/>
      </bottom>
    </border>
    <border>
      <left style="thin"/>
      <right>
        <color indexed="63"/>
      </right>
      <top style="thin"/>
      <bottom>
        <color indexed="63"/>
      </bottom>
    </border>
    <border>
      <left style="medium"/>
      <right>
        <color indexed="63"/>
      </right>
      <top style="medium"/>
      <bottom style="medium"/>
    </border>
    <border>
      <left style="thin"/>
      <right>
        <color indexed="63"/>
      </right>
      <top>
        <color indexed="63"/>
      </top>
      <bottom>
        <color indexed="63"/>
      </bottom>
    </border>
    <border>
      <left style="dashed"/>
      <right style="thin"/>
      <top style="thin"/>
      <bottom>
        <color indexed="63"/>
      </bottom>
    </border>
    <border>
      <left style="dashed"/>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33"/>
      </left>
      <right>
        <color indexed="63"/>
      </right>
      <top style="thin">
        <color indexed="33"/>
      </top>
      <bottom>
        <color indexed="63"/>
      </bottom>
    </border>
    <border>
      <left>
        <color indexed="63"/>
      </left>
      <right style="thin">
        <color indexed="33"/>
      </right>
      <top style="thin">
        <color indexed="33"/>
      </top>
      <bottom>
        <color indexed="63"/>
      </bottom>
    </border>
    <border>
      <left style="thin">
        <color indexed="33"/>
      </left>
      <right>
        <color indexed="63"/>
      </right>
      <top>
        <color indexed="63"/>
      </top>
      <bottom style="thin">
        <color indexed="33"/>
      </bottom>
    </border>
    <border>
      <left>
        <color indexed="63"/>
      </left>
      <right style="thin">
        <color indexed="33"/>
      </right>
      <top>
        <color indexed="63"/>
      </top>
      <bottom style="thin">
        <color indexed="33"/>
      </bottom>
    </border>
    <border>
      <left style="thick">
        <color indexed="39"/>
      </left>
      <right>
        <color indexed="63"/>
      </right>
      <top style="thick">
        <color indexed="39"/>
      </top>
      <bottom>
        <color indexed="63"/>
      </bottom>
    </border>
    <border>
      <left>
        <color indexed="63"/>
      </left>
      <right style="thick">
        <color indexed="39"/>
      </right>
      <top style="thick">
        <color indexed="39"/>
      </top>
      <bottom>
        <color indexed="63"/>
      </bottom>
    </border>
    <border>
      <left style="thick">
        <color indexed="39"/>
      </left>
      <right>
        <color indexed="63"/>
      </right>
      <top>
        <color indexed="63"/>
      </top>
      <bottom style="thick">
        <color indexed="39"/>
      </bottom>
    </border>
    <border>
      <left>
        <color indexed="63"/>
      </left>
      <right style="thick">
        <color indexed="39"/>
      </right>
      <top>
        <color indexed="63"/>
      </top>
      <bottom style="thick">
        <color indexed="39"/>
      </bottom>
    </border>
    <border>
      <left style="thick">
        <color indexed="12"/>
      </left>
      <right style="thick">
        <color indexed="12"/>
      </right>
      <top style="thick">
        <color indexed="12"/>
      </top>
      <bottom>
        <color indexed="63"/>
      </bottom>
    </border>
    <border>
      <left style="thick">
        <color indexed="12"/>
      </left>
      <right style="thick">
        <color indexed="12"/>
      </right>
      <top>
        <color indexed="63"/>
      </top>
      <bottom style="thick">
        <color indexed="12"/>
      </bottom>
    </border>
    <border>
      <left>
        <color indexed="63"/>
      </left>
      <right>
        <color indexed="63"/>
      </right>
      <top>
        <color indexed="63"/>
      </top>
      <bottom style="thin">
        <color indexed="45"/>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9" fillId="0" borderId="0">
      <alignment/>
      <protection/>
    </xf>
    <xf numFmtId="0" fontId="22" fillId="0" borderId="0" applyNumberFormat="0" applyFill="0" applyBorder="0" applyAlignment="0" applyProtection="0"/>
    <xf numFmtId="0" fontId="67" fillId="32" borderId="0" applyNumberFormat="0" applyBorder="0" applyAlignment="0" applyProtection="0"/>
  </cellStyleXfs>
  <cellXfs count="233">
    <xf numFmtId="0" fontId="0" fillId="0" borderId="0" xfId="0" applyAlignment="1">
      <alignment/>
    </xf>
    <xf numFmtId="176" fontId="0" fillId="0" borderId="0" xfId="0" applyNumberFormat="1" applyAlignment="1">
      <alignment vertical="center" wrapText="1"/>
    </xf>
    <xf numFmtId="176" fontId="2" fillId="0" borderId="0" xfId="0" applyNumberFormat="1" applyFont="1" applyAlignment="1">
      <alignment vertical="center" wrapText="1"/>
    </xf>
    <xf numFmtId="184" fontId="0" fillId="0" borderId="0" xfId="0" applyNumberFormat="1" applyAlignment="1">
      <alignment vertical="center" wrapText="1"/>
    </xf>
    <xf numFmtId="176" fontId="0" fillId="0" borderId="0" xfId="0" applyNumberFormat="1" applyAlignment="1">
      <alignment horizontal="center" vertical="center" wrapText="1"/>
    </xf>
    <xf numFmtId="184" fontId="2" fillId="0" borderId="0" xfId="0" applyNumberFormat="1" applyFont="1" applyAlignment="1">
      <alignment vertical="center" wrapText="1"/>
    </xf>
    <xf numFmtId="184" fontId="0" fillId="0" borderId="0" xfId="0" applyNumberFormat="1" applyAlignment="1">
      <alignment horizontal="center" vertical="center" wrapText="1"/>
    </xf>
    <xf numFmtId="176" fontId="0" fillId="0" borderId="0" xfId="0" applyNumberFormat="1" applyFont="1" applyAlignment="1">
      <alignment horizontal="center" vertical="center" wrapText="1"/>
    </xf>
    <xf numFmtId="184" fontId="3" fillId="0" borderId="0" xfId="0" applyNumberFormat="1" applyFont="1" applyAlignment="1">
      <alignment horizontal="center"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205" fontId="7" fillId="0" borderId="11" xfId="0" applyNumberFormat="1" applyFont="1" applyBorder="1" applyAlignment="1">
      <alignment vertical="center"/>
    </xf>
    <xf numFmtId="0" fontId="6"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9" fillId="0" borderId="0" xfId="0" applyFont="1" applyBorder="1" applyAlignment="1">
      <alignment vertical="center"/>
    </xf>
    <xf numFmtId="0" fontId="12" fillId="0" borderId="0" xfId="0" applyFont="1" applyAlignment="1">
      <alignment vertical="center"/>
    </xf>
    <xf numFmtId="0" fontId="8" fillId="0" borderId="0" xfId="0" applyFont="1" applyAlignment="1">
      <alignment horizontal="distributed" vertical="center"/>
    </xf>
    <xf numFmtId="192" fontId="4" fillId="0" borderId="0" xfId="0" applyNumberFormat="1" applyFont="1" applyBorder="1" applyAlignment="1">
      <alignment vertical="center"/>
    </xf>
    <xf numFmtId="0" fontId="13" fillId="0" borderId="0" xfId="0" applyFont="1" applyAlignment="1">
      <alignment vertical="center"/>
    </xf>
    <xf numFmtId="0" fontId="9" fillId="0" borderId="14" xfId="0" applyFon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7" fillId="0" borderId="0" xfId="0" applyFont="1" applyBorder="1" applyAlignment="1">
      <alignment horizontal="center" vertical="center"/>
    </xf>
    <xf numFmtId="0" fontId="7" fillId="0" borderId="15" xfId="0" applyFont="1" applyBorder="1" applyAlignment="1">
      <alignment horizontal="center" vertical="center"/>
    </xf>
    <xf numFmtId="205" fontId="7" fillId="0" borderId="16" xfId="0" applyNumberFormat="1" applyFont="1" applyBorder="1" applyAlignment="1">
      <alignment vertical="center"/>
    </xf>
    <xf numFmtId="0" fontId="7" fillId="0" borderId="17" xfId="0" applyFont="1" applyBorder="1" applyAlignment="1">
      <alignment horizontal="center" vertical="center"/>
    </xf>
    <xf numFmtId="205" fontId="7" fillId="0" borderId="18" xfId="0" applyNumberFormat="1" applyFont="1" applyBorder="1" applyAlignment="1">
      <alignment vertical="center"/>
    </xf>
    <xf numFmtId="205" fontId="7" fillId="0" borderId="19" xfId="0" applyNumberFormat="1"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205" fontId="7" fillId="0" borderId="22" xfId="0" applyNumberFormat="1" applyFont="1" applyBorder="1" applyAlignment="1">
      <alignment vertical="center"/>
    </xf>
    <xf numFmtId="205" fontId="7" fillId="0" borderId="23" xfId="0" applyNumberFormat="1" applyFont="1" applyBorder="1" applyAlignment="1">
      <alignment vertical="center"/>
    </xf>
    <xf numFmtId="205" fontId="7" fillId="0" borderId="24" xfId="0" applyNumberFormat="1" applyFont="1" applyBorder="1" applyAlignment="1">
      <alignment vertical="center"/>
    </xf>
    <xf numFmtId="0" fontId="14" fillId="0" borderId="0" xfId="0" applyFont="1" applyAlignment="1">
      <alignment vertical="center"/>
    </xf>
    <xf numFmtId="0" fontId="0" fillId="0" borderId="0" xfId="0" applyAlignment="1">
      <alignment vertical="top" wrapText="1"/>
    </xf>
    <xf numFmtId="0" fontId="5" fillId="0" borderId="0" xfId="0" applyFont="1" applyAlignment="1">
      <alignment vertical="center"/>
    </xf>
    <xf numFmtId="186" fontId="0" fillId="0" borderId="0" xfId="0" applyNumberFormat="1" applyBorder="1" applyAlignment="1">
      <alignment horizontal="center" vertical="center"/>
    </xf>
    <xf numFmtId="187" fontId="4" fillId="0" borderId="25" xfId="0" applyNumberFormat="1"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187" fontId="0" fillId="0" borderId="0" xfId="0" applyNumberFormat="1" applyBorder="1" applyAlignment="1">
      <alignment horizontal="center" vertical="center"/>
    </xf>
    <xf numFmtId="189" fontId="0" fillId="0" borderId="0" xfId="0" applyNumberFormat="1" applyBorder="1" applyAlignment="1">
      <alignment horizontal="center" vertical="center"/>
    </xf>
    <xf numFmtId="192" fontId="0" fillId="0" borderId="0" xfId="0" applyNumberFormat="1" applyBorder="1" applyAlignment="1">
      <alignment horizontal="center" vertical="center"/>
    </xf>
    <xf numFmtId="187" fontId="4" fillId="0" borderId="0" xfId="0" applyNumberFormat="1" applyFont="1" applyBorder="1" applyAlignment="1">
      <alignment vertical="center"/>
    </xf>
    <xf numFmtId="192" fontId="4" fillId="0" borderId="25" xfId="0" applyNumberFormat="1" applyFont="1" applyBorder="1" applyAlignment="1">
      <alignment vertical="center"/>
    </xf>
    <xf numFmtId="187" fontId="0" fillId="0" borderId="25" xfId="0" applyNumberFormat="1" applyBorder="1" applyAlignment="1">
      <alignment horizontal="center" vertical="center"/>
    </xf>
    <xf numFmtId="0" fontId="0" fillId="0" borderId="0" xfId="0" applyBorder="1" applyAlignment="1">
      <alignment/>
    </xf>
    <xf numFmtId="187" fontId="0" fillId="0" borderId="0" xfId="0" applyNumberFormat="1" applyAlignment="1">
      <alignment vertical="center"/>
    </xf>
    <xf numFmtId="212" fontId="4" fillId="0" borderId="0" xfId="0" applyNumberFormat="1" applyFont="1" applyBorder="1" applyAlignment="1">
      <alignment vertical="center"/>
    </xf>
    <xf numFmtId="187" fontId="4" fillId="0" borderId="0" xfId="0" applyNumberFormat="1" applyFont="1" applyBorder="1" applyAlignment="1">
      <alignment horizontal="center" vertical="center"/>
    </xf>
    <xf numFmtId="0" fontId="0" fillId="0" borderId="0" xfId="0" applyAlignment="1" applyProtection="1">
      <alignment vertical="center"/>
      <protection/>
    </xf>
    <xf numFmtId="0" fontId="0" fillId="0" borderId="0" xfId="0" applyFont="1" applyAlignment="1" applyProtection="1">
      <alignment vertical="center"/>
      <protection/>
    </xf>
    <xf numFmtId="0" fontId="16" fillId="0" borderId="0" xfId="0" applyFont="1" applyAlignment="1" applyProtection="1">
      <alignment vertical="center"/>
      <protection/>
    </xf>
    <xf numFmtId="0" fontId="0" fillId="0" borderId="26" xfId="0" applyFont="1" applyFill="1" applyBorder="1" applyAlignment="1" applyProtection="1">
      <alignment horizontal="center" vertical="center"/>
      <protection/>
    </xf>
    <xf numFmtId="0" fontId="4" fillId="0" borderId="0" xfId="0" applyFont="1" applyAlignment="1" applyProtection="1" quotePrefix="1">
      <alignment vertical="center"/>
      <protection/>
    </xf>
    <xf numFmtId="0" fontId="4" fillId="0" borderId="0" xfId="0" applyFont="1" applyAlignment="1" applyProtection="1">
      <alignment vertical="center"/>
      <protection/>
    </xf>
    <xf numFmtId="184" fontId="17" fillId="33" borderId="26" xfId="0" applyNumberFormat="1" applyFont="1" applyFill="1" applyBorder="1" applyAlignment="1" applyProtection="1">
      <alignment vertical="center"/>
      <protection/>
    </xf>
    <xf numFmtId="176" fontId="0" fillId="33" borderId="26" xfId="0" applyNumberFormat="1"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center" vertical="center"/>
      <protection/>
    </xf>
    <xf numFmtId="0" fontId="16" fillId="0" borderId="0" xfId="0" applyFont="1" applyAlignment="1" applyProtection="1">
      <alignment horizontal="center" vertical="center"/>
      <protection/>
    </xf>
    <xf numFmtId="0" fontId="15" fillId="0" borderId="0" xfId="0" applyFont="1" applyAlignment="1" applyProtection="1">
      <alignment vertical="center"/>
      <protection/>
    </xf>
    <xf numFmtId="0" fontId="0" fillId="0" borderId="0" xfId="0" applyAlignment="1" applyProtection="1" quotePrefix="1">
      <alignment vertical="center"/>
      <protection/>
    </xf>
    <xf numFmtId="0" fontId="0" fillId="0" borderId="0" xfId="0" applyFont="1" applyAlignment="1" applyProtection="1">
      <alignment vertical="center"/>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horizontal="left" vertical="center"/>
      <protection/>
    </xf>
    <xf numFmtId="176" fontId="0" fillId="33" borderId="26" xfId="0" applyNumberFormat="1" applyFont="1" applyFill="1" applyBorder="1" applyAlignment="1" applyProtection="1">
      <alignment vertical="center"/>
      <protection/>
    </xf>
    <xf numFmtId="183" fontId="0" fillId="33" borderId="26" xfId="0" applyNumberFormat="1" applyFont="1" applyFill="1" applyBorder="1" applyAlignment="1" applyProtection="1">
      <alignment vertical="center"/>
      <protection/>
    </xf>
    <xf numFmtId="0" fontId="0" fillId="0" borderId="0" xfId="0" applyFont="1" applyAlignment="1">
      <alignment vertical="center"/>
    </xf>
    <xf numFmtId="0" fontId="18" fillId="0" borderId="27" xfId="0" applyFont="1" applyBorder="1" applyAlignment="1">
      <alignment horizontal="center" vertical="center" shrinkToFit="1"/>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34" borderId="27" xfId="0" applyFont="1" applyFill="1" applyBorder="1" applyAlignment="1">
      <alignment horizontal="center" vertical="center"/>
    </xf>
    <xf numFmtId="0" fontId="11" fillId="34" borderId="1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28" xfId="0" applyFont="1" applyBorder="1" applyAlignment="1">
      <alignment vertical="center"/>
    </xf>
    <xf numFmtId="0" fontId="11" fillId="0" borderId="13" xfId="0" applyFont="1" applyBorder="1" applyAlignment="1">
      <alignment vertical="center"/>
    </xf>
    <xf numFmtId="206" fontId="19" fillId="0" borderId="29" xfId="49" applyNumberFormat="1" applyFont="1" applyBorder="1" applyAlignment="1">
      <alignment vertical="center"/>
    </xf>
    <xf numFmtId="206" fontId="20" fillId="34" borderId="29" xfId="49" applyNumberFormat="1" applyFont="1" applyFill="1" applyBorder="1" applyAlignment="1">
      <alignment vertical="center"/>
    </xf>
    <xf numFmtId="0" fontId="19" fillId="0" borderId="0" xfId="0" applyFont="1" applyAlignment="1">
      <alignment vertical="center"/>
    </xf>
    <xf numFmtId="215" fontId="11" fillId="0" borderId="0" xfId="0" applyNumberFormat="1" applyFont="1" applyAlignment="1">
      <alignment vertical="center"/>
    </xf>
    <xf numFmtId="183" fontId="11" fillId="0" borderId="0" xfId="0" applyNumberFormat="1" applyFont="1" applyAlignment="1">
      <alignment vertical="center"/>
    </xf>
    <xf numFmtId="209" fontId="11" fillId="0" borderId="0" xfId="0" applyNumberFormat="1" applyFont="1" applyAlignment="1">
      <alignment vertical="center"/>
    </xf>
    <xf numFmtId="184" fontId="19" fillId="0" borderId="0" xfId="0" applyNumberFormat="1" applyFont="1" applyAlignment="1">
      <alignment vertical="center"/>
    </xf>
    <xf numFmtId="183" fontId="19" fillId="0" borderId="0" xfId="0" applyNumberFormat="1" applyFont="1" applyAlignment="1">
      <alignment vertical="center"/>
    </xf>
    <xf numFmtId="0" fontId="11" fillId="0" borderId="11" xfId="0" applyFont="1" applyBorder="1" applyAlignment="1">
      <alignment vertical="center"/>
    </xf>
    <xf numFmtId="0" fontId="11" fillId="34" borderId="11" xfId="0" applyFont="1" applyFill="1" applyBorder="1" applyAlignment="1">
      <alignment vertical="center"/>
    </xf>
    <xf numFmtId="0" fontId="11" fillId="0" borderId="18" xfId="0" applyFont="1" applyBorder="1" applyAlignment="1">
      <alignment vertical="center"/>
    </xf>
    <xf numFmtId="0" fontId="11" fillId="34" borderId="18" xfId="0" applyFont="1" applyFill="1" applyBorder="1" applyAlignment="1">
      <alignment vertical="center"/>
    </xf>
    <xf numFmtId="0" fontId="21" fillId="0" borderId="0" xfId="43" applyAlignment="1" applyProtection="1">
      <alignment vertical="center"/>
      <protection/>
    </xf>
    <xf numFmtId="176" fontId="0" fillId="33" borderId="26" xfId="0" applyNumberFormat="1" applyFont="1" applyFill="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12" fillId="0" borderId="0" xfId="0" applyFont="1" applyAlignment="1" applyProtection="1">
      <alignment vertical="center"/>
      <protection/>
    </xf>
    <xf numFmtId="184" fontId="17" fillId="33" borderId="26" xfId="0" applyNumberFormat="1" applyFont="1" applyFill="1" applyBorder="1" applyAlignment="1" applyProtection="1">
      <alignment horizontal="center" vertical="center"/>
      <protection/>
    </xf>
    <xf numFmtId="0" fontId="23" fillId="0" borderId="0" xfId="0" applyFont="1" applyAlignment="1" applyProtection="1">
      <alignment vertical="center"/>
      <protection/>
    </xf>
    <xf numFmtId="187" fontId="68" fillId="0" borderId="31" xfId="0" applyNumberFormat="1" applyFont="1" applyBorder="1" applyAlignment="1">
      <alignment horizontal="center" vertical="center"/>
    </xf>
    <xf numFmtId="0" fontId="68" fillId="0" borderId="26" xfId="0" applyFont="1" applyBorder="1" applyAlignment="1">
      <alignment horizontal="center" vertical="center"/>
    </xf>
    <xf numFmtId="189" fontId="68" fillId="0" borderId="26" xfId="0" applyNumberFormat="1" applyFont="1" applyBorder="1" applyAlignment="1">
      <alignment horizontal="center" vertical="center"/>
    </xf>
    <xf numFmtId="187" fontId="69" fillId="0" borderId="31" xfId="0" applyNumberFormat="1" applyFont="1" applyBorder="1" applyAlignment="1">
      <alignment horizontal="center" vertical="center"/>
    </xf>
    <xf numFmtId="187" fontId="69" fillId="35" borderId="26" xfId="0" applyNumberFormat="1" applyFont="1" applyFill="1" applyBorder="1" applyAlignment="1">
      <alignment horizontal="center" vertical="center"/>
    </xf>
    <xf numFmtId="189" fontId="68" fillId="0" borderId="32" xfId="0" applyNumberFormat="1" applyFont="1" applyBorder="1" applyAlignment="1">
      <alignment horizontal="center" vertical="center"/>
    </xf>
    <xf numFmtId="189" fontId="68" fillId="0" borderId="33" xfId="0" applyNumberFormat="1" applyFont="1" applyBorder="1" applyAlignment="1">
      <alignment horizontal="center" vertical="center"/>
    </xf>
    <xf numFmtId="189" fontId="68" fillId="0" borderId="34" xfId="0" applyNumberFormat="1" applyFont="1" applyBorder="1" applyAlignment="1">
      <alignment horizontal="center" vertical="center"/>
    </xf>
    <xf numFmtId="189" fontId="68" fillId="0" borderId="35" xfId="0" applyNumberFormat="1" applyFont="1" applyBorder="1" applyAlignment="1">
      <alignment horizontal="center" vertical="center"/>
    </xf>
    <xf numFmtId="189" fontId="68" fillId="0" borderId="36" xfId="0" applyNumberFormat="1" applyFont="1" applyBorder="1" applyAlignment="1">
      <alignment horizontal="center" vertical="center"/>
    </xf>
    <xf numFmtId="189" fontId="68" fillId="0" borderId="37" xfId="0" applyNumberFormat="1" applyFont="1" applyBorder="1" applyAlignment="1">
      <alignment horizontal="center" vertical="center"/>
    </xf>
    <xf numFmtId="191" fontId="68" fillId="0" borderId="32" xfId="0" applyNumberFormat="1" applyFont="1" applyBorder="1" applyAlignment="1">
      <alignment vertical="center"/>
    </xf>
    <xf numFmtId="191" fontId="68" fillId="0" borderId="33" xfId="0" applyNumberFormat="1" applyFont="1" applyBorder="1" applyAlignment="1">
      <alignment vertical="center"/>
    </xf>
    <xf numFmtId="191" fontId="68" fillId="0" borderId="34" xfId="0" applyNumberFormat="1" applyFont="1" applyBorder="1" applyAlignment="1">
      <alignment vertical="center"/>
    </xf>
    <xf numFmtId="189" fontId="68" fillId="35" borderId="35" xfId="0" applyNumberFormat="1" applyFont="1" applyFill="1" applyBorder="1" applyAlignment="1">
      <alignment horizontal="center" vertical="center"/>
    </xf>
    <xf numFmtId="189" fontId="68" fillId="35" borderId="36" xfId="0" applyNumberFormat="1" applyFont="1" applyFill="1" applyBorder="1" applyAlignment="1">
      <alignment horizontal="center" vertical="center"/>
    </xf>
    <xf numFmtId="189" fontId="68" fillId="35" borderId="37" xfId="0" applyNumberFormat="1" applyFont="1" applyFill="1" applyBorder="1" applyAlignment="1">
      <alignment horizontal="center" vertical="center"/>
    </xf>
    <xf numFmtId="192" fontId="68" fillId="0" borderId="31" xfId="0" applyNumberFormat="1" applyFont="1" applyBorder="1" applyAlignment="1">
      <alignment horizontal="center" vertical="center"/>
    </xf>
    <xf numFmtId="187" fontId="68" fillId="0" borderId="26" xfId="0" applyNumberFormat="1" applyFont="1" applyBorder="1" applyAlignment="1">
      <alignment horizontal="center" vertical="center"/>
    </xf>
    <xf numFmtId="187" fontId="69" fillId="0" borderId="31" xfId="0" applyNumberFormat="1" applyFont="1" applyFill="1" applyBorder="1" applyAlignment="1">
      <alignment vertical="center"/>
    </xf>
    <xf numFmtId="187" fontId="69" fillId="35" borderId="26" xfId="0" applyNumberFormat="1" applyFont="1" applyFill="1" applyBorder="1" applyAlignment="1">
      <alignment vertical="center"/>
    </xf>
    <xf numFmtId="192" fontId="69" fillId="0" borderId="31" xfId="0" applyNumberFormat="1" applyFont="1" applyBorder="1" applyAlignment="1">
      <alignment vertical="center"/>
    </xf>
    <xf numFmtId="187" fontId="68" fillId="35" borderId="26" xfId="0" applyNumberFormat="1" applyFont="1" applyFill="1" applyBorder="1" applyAlignment="1">
      <alignment horizontal="center" vertical="center"/>
    </xf>
    <xf numFmtId="192" fontId="68" fillId="0" borderId="26" xfId="0" applyNumberFormat="1" applyFont="1" applyBorder="1" applyAlignment="1">
      <alignment horizontal="center" vertical="center"/>
    </xf>
    <xf numFmtId="189" fontId="68" fillId="0" borderId="35" xfId="0" applyNumberFormat="1" applyFont="1" applyFill="1" applyBorder="1" applyAlignment="1">
      <alignment horizontal="center" vertical="center"/>
    </xf>
    <xf numFmtId="189" fontId="68" fillId="0" borderId="36" xfId="0" applyNumberFormat="1" applyFont="1" applyFill="1" applyBorder="1" applyAlignment="1">
      <alignment horizontal="center" vertical="center"/>
    </xf>
    <xf numFmtId="189" fontId="68" fillId="0" borderId="37" xfId="0" applyNumberFormat="1" applyFont="1" applyFill="1" applyBorder="1" applyAlignment="1">
      <alignment horizontal="center" vertical="center"/>
    </xf>
    <xf numFmtId="0" fontId="7" fillId="0" borderId="0" xfId="0" applyFont="1" applyBorder="1" applyAlignment="1">
      <alignment horizontal="right" vertical="center"/>
    </xf>
    <xf numFmtId="205" fontId="7" fillId="0" borderId="28" xfId="0" applyNumberFormat="1" applyFont="1" applyBorder="1" applyAlignment="1">
      <alignment vertical="center"/>
    </xf>
    <xf numFmtId="205" fontId="7" fillId="0" borderId="12" xfId="0" applyNumberFormat="1" applyFont="1" applyBorder="1" applyAlignment="1">
      <alignment vertical="center"/>
    </xf>
    <xf numFmtId="205" fontId="7" fillId="0" borderId="38" xfId="0" applyNumberFormat="1" applyFont="1" applyBorder="1" applyAlignment="1">
      <alignment vertical="center"/>
    </xf>
    <xf numFmtId="205" fontId="30" fillId="0" borderId="39" xfId="0" applyNumberFormat="1" applyFont="1" applyBorder="1" applyAlignment="1">
      <alignment vertical="center"/>
    </xf>
    <xf numFmtId="205" fontId="7" fillId="0" borderId="39" xfId="0" applyNumberFormat="1" applyFont="1" applyBorder="1" applyAlignment="1">
      <alignment vertical="center"/>
    </xf>
    <xf numFmtId="176" fontId="0" fillId="0" borderId="0" xfId="0" applyNumberFormat="1" applyFont="1" applyAlignment="1">
      <alignment vertical="center" wrapText="1"/>
    </xf>
    <xf numFmtId="176" fontId="68" fillId="0" borderId="0" xfId="0" applyNumberFormat="1" applyFont="1" applyAlignment="1">
      <alignment vertical="center" wrapText="1"/>
    </xf>
    <xf numFmtId="184" fontId="0" fillId="0" borderId="0" xfId="0" applyNumberFormat="1" applyFont="1" applyAlignment="1">
      <alignment vertical="center" wrapText="1"/>
    </xf>
    <xf numFmtId="176" fontId="0" fillId="0" borderId="0" xfId="0" applyNumberFormat="1" applyFont="1" applyAlignment="1">
      <alignment horizontal="center" vertical="center" wrapText="1"/>
    </xf>
    <xf numFmtId="184" fontId="0" fillId="0" borderId="0" xfId="0" applyNumberFormat="1" applyFont="1" applyAlignment="1">
      <alignment horizontal="center" vertical="center" wrapText="1"/>
    </xf>
    <xf numFmtId="0" fontId="31" fillId="0" borderId="0" xfId="61" applyNumberFormat="1" applyFont="1" applyFill="1" applyBorder="1" applyAlignment="1">
      <alignment horizontal="right" wrapText="1"/>
      <protection/>
    </xf>
    <xf numFmtId="0" fontId="11" fillId="0" borderId="40" xfId="0" applyFont="1" applyBorder="1" applyAlignment="1">
      <alignment vertical="center"/>
    </xf>
    <xf numFmtId="0" fontId="11" fillId="0" borderId="0" xfId="0" applyFont="1" applyBorder="1" applyAlignment="1">
      <alignment vertical="center"/>
    </xf>
    <xf numFmtId="38" fontId="19" fillId="0" borderId="38" xfId="49" applyFont="1" applyBorder="1" applyAlignment="1">
      <alignment vertical="center"/>
    </xf>
    <xf numFmtId="215" fontId="11" fillId="0" borderId="40" xfId="49" applyNumberFormat="1" applyFont="1" applyBorder="1" applyAlignment="1">
      <alignment vertical="center"/>
    </xf>
    <xf numFmtId="38" fontId="11" fillId="0" borderId="41" xfId="49" applyNumberFormat="1" applyFont="1" applyBorder="1" applyAlignment="1">
      <alignment vertical="center"/>
    </xf>
    <xf numFmtId="38" fontId="19" fillId="0" borderId="40" xfId="49" applyFont="1" applyBorder="1" applyAlignment="1">
      <alignment vertical="center"/>
    </xf>
    <xf numFmtId="38" fontId="11" fillId="0" borderId="42" xfId="49" applyNumberFormat="1" applyFont="1" applyBorder="1" applyAlignment="1">
      <alignment vertical="center"/>
    </xf>
    <xf numFmtId="184" fontId="19" fillId="0" borderId="43" xfId="49" applyNumberFormat="1" applyFont="1" applyBorder="1" applyAlignment="1">
      <alignment vertical="center"/>
    </xf>
    <xf numFmtId="206" fontId="11" fillId="0" borderId="40" xfId="49" applyNumberFormat="1" applyFont="1" applyBorder="1" applyAlignment="1">
      <alignment vertical="center"/>
    </xf>
    <xf numFmtId="184" fontId="19" fillId="0" borderId="44" xfId="49" applyNumberFormat="1" applyFont="1" applyBorder="1" applyAlignment="1">
      <alignment vertical="center"/>
    </xf>
    <xf numFmtId="183" fontId="19" fillId="0" borderId="43" xfId="49" applyNumberFormat="1" applyFont="1" applyBorder="1" applyAlignment="1">
      <alignment vertical="center"/>
    </xf>
    <xf numFmtId="183" fontId="19" fillId="0" borderId="44" xfId="49" applyNumberFormat="1" applyFont="1" applyBorder="1" applyAlignment="1">
      <alignment vertical="center"/>
    </xf>
    <xf numFmtId="38" fontId="11" fillId="34" borderId="41" xfId="49" applyNumberFormat="1" applyFont="1" applyFill="1" applyBorder="1" applyAlignment="1">
      <alignment vertical="center"/>
    </xf>
    <xf numFmtId="38" fontId="11" fillId="34" borderId="42" xfId="49" applyNumberFormat="1" applyFont="1" applyFill="1" applyBorder="1" applyAlignment="1">
      <alignment vertical="center"/>
    </xf>
    <xf numFmtId="38" fontId="19" fillId="0" borderId="28" xfId="0" applyNumberFormat="1" applyFont="1" applyBorder="1" applyAlignment="1">
      <alignment vertical="center"/>
    </xf>
    <xf numFmtId="215" fontId="19" fillId="0" borderId="28" xfId="49" applyNumberFormat="1" applyFont="1" applyBorder="1" applyAlignment="1">
      <alignment vertical="center"/>
    </xf>
    <xf numFmtId="183" fontId="11" fillId="0" borderId="40" xfId="49" applyNumberFormat="1" applyFont="1" applyBorder="1" applyAlignment="1">
      <alignment vertical="center"/>
    </xf>
    <xf numFmtId="183" fontId="19" fillId="0" borderId="28" xfId="49" applyNumberFormat="1" applyFont="1" applyBorder="1" applyAlignment="1">
      <alignment vertical="center"/>
    </xf>
    <xf numFmtId="209" fontId="11" fillId="34" borderId="0" xfId="49" applyNumberFormat="1" applyFont="1" applyFill="1" applyBorder="1" applyAlignment="1">
      <alignment vertical="center"/>
    </xf>
    <xf numFmtId="209" fontId="19" fillId="34" borderId="13" xfId="49" applyNumberFormat="1" applyFont="1" applyFill="1" applyBorder="1" applyAlignment="1">
      <alignment vertical="center"/>
    </xf>
    <xf numFmtId="184" fontId="19" fillId="0" borderId="45" xfId="0" applyNumberFormat="1" applyFont="1" applyBorder="1" applyAlignment="1">
      <alignment vertical="center"/>
    </xf>
    <xf numFmtId="206" fontId="19" fillId="0" borderId="28" xfId="49" applyNumberFormat="1" applyFont="1" applyBorder="1" applyAlignment="1">
      <alignment vertical="center"/>
    </xf>
    <xf numFmtId="213" fontId="11" fillId="34" borderId="0" xfId="49" applyNumberFormat="1" applyFont="1" applyFill="1" applyBorder="1" applyAlignment="1">
      <alignment vertical="center"/>
    </xf>
    <xf numFmtId="206" fontId="19" fillId="34" borderId="13" xfId="49" applyNumberFormat="1" applyFont="1" applyFill="1" applyBorder="1" applyAlignment="1">
      <alignment vertical="center"/>
    </xf>
    <xf numFmtId="183" fontId="19" fillId="0" borderId="45" xfId="0" applyNumberFormat="1" applyFont="1" applyBorder="1" applyAlignment="1">
      <alignment vertical="center"/>
    </xf>
    <xf numFmtId="206" fontId="11" fillId="0" borderId="12" xfId="0" applyNumberFormat="1" applyFont="1" applyBorder="1" applyAlignment="1">
      <alignment vertical="center"/>
    </xf>
    <xf numFmtId="215" fontId="11" fillId="0" borderId="12" xfId="0" applyNumberFormat="1" applyFont="1" applyBorder="1" applyAlignment="1">
      <alignment vertical="center"/>
    </xf>
    <xf numFmtId="215" fontId="11" fillId="0" borderId="12" xfId="49" applyNumberFormat="1" applyFont="1" applyBorder="1" applyAlignment="1">
      <alignment vertical="center"/>
    </xf>
    <xf numFmtId="206" fontId="11" fillId="0" borderId="13" xfId="0" applyNumberFormat="1" applyFont="1" applyBorder="1" applyAlignment="1">
      <alignment vertical="center"/>
    </xf>
    <xf numFmtId="215" fontId="11" fillId="0" borderId="28" xfId="49" applyNumberFormat="1" applyFont="1" applyBorder="1" applyAlignment="1">
      <alignment vertical="center"/>
    </xf>
    <xf numFmtId="184" fontId="11" fillId="0" borderId="12" xfId="0" applyNumberFormat="1" applyFont="1" applyBorder="1" applyAlignment="1">
      <alignment vertical="center"/>
    </xf>
    <xf numFmtId="206" fontId="11" fillId="0" borderId="12" xfId="49" applyNumberFormat="1" applyFont="1" applyBorder="1" applyAlignment="1">
      <alignment vertical="center"/>
    </xf>
    <xf numFmtId="184" fontId="11" fillId="0" borderId="13" xfId="0" applyNumberFormat="1" applyFont="1" applyBorder="1" applyAlignment="1">
      <alignment vertical="center"/>
    </xf>
    <xf numFmtId="206" fontId="11" fillId="0" borderId="28" xfId="49" applyNumberFormat="1" applyFont="1" applyBorder="1" applyAlignment="1">
      <alignment vertical="center"/>
    </xf>
    <xf numFmtId="183" fontId="11" fillId="0" borderId="12" xfId="0" applyNumberFormat="1" applyFont="1" applyBorder="1" applyAlignment="1">
      <alignment vertical="center"/>
    </xf>
    <xf numFmtId="183" fontId="11" fillId="0" borderId="13" xfId="0" applyNumberFormat="1" applyFont="1" applyBorder="1" applyAlignment="1">
      <alignment vertical="center"/>
    </xf>
    <xf numFmtId="183" fontId="11" fillId="0" borderId="12" xfId="49" applyNumberFormat="1" applyFont="1" applyBorder="1" applyAlignment="1">
      <alignment vertical="center"/>
    </xf>
    <xf numFmtId="183" fontId="11" fillId="0" borderId="28" xfId="49" applyNumberFormat="1" applyFont="1" applyBorder="1" applyAlignment="1">
      <alignment vertical="center"/>
    </xf>
    <xf numFmtId="209" fontId="11" fillId="34" borderId="27" xfId="0" applyNumberFormat="1" applyFont="1" applyFill="1" applyBorder="1" applyAlignment="1">
      <alignment vertical="center"/>
    </xf>
    <xf numFmtId="209" fontId="11" fillId="34" borderId="27" xfId="49" applyNumberFormat="1" applyFont="1" applyFill="1" applyBorder="1" applyAlignment="1">
      <alignment vertical="center"/>
    </xf>
    <xf numFmtId="209" fontId="11" fillId="34" borderId="13" xfId="49" applyNumberFormat="1" applyFont="1" applyFill="1" applyBorder="1" applyAlignment="1">
      <alignment vertical="center"/>
    </xf>
    <xf numFmtId="206" fontId="11" fillId="34" borderId="27" xfId="0" applyNumberFormat="1" applyFont="1" applyFill="1" applyBorder="1" applyAlignment="1">
      <alignment vertical="center"/>
    </xf>
    <xf numFmtId="206" fontId="11" fillId="34" borderId="27" xfId="49" applyNumberFormat="1" applyFont="1" applyFill="1" applyBorder="1" applyAlignment="1">
      <alignment vertical="center"/>
    </xf>
    <xf numFmtId="206" fontId="11" fillId="34" borderId="13" xfId="49" applyNumberFormat="1" applyFont="1" applyFill="1"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1" xfId="0" applyBorder="1" applyAlignment="1">
      <alignment vertical="center"/>
    </xf>
    <xf numFmtId="186" fontId="4" fillId="0" borderId="46" xfId="0" applyNumberFormat="1"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9" fillId="0" borderId="0" xfId="0" applyFont="1" applyBorder="1" applyAlignment="1" applyProtection="1">
      <alignment horizontal="left" vertical="center" wrapText="1"/>
      <protection/>
    </xf>
    <xf numFmtId="0" fontId="4" fillId="0" borderId="56"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vertical="top" wrapText="1"/>
    </xf>
    <xf numFmtId="0" fontId="0" fillId="0" borderId="0" xfId="0" applyAlignment="1">
      <alignment vertical="top" wrapText="1"/>
    </xf>
    <xf numFmtId="0" fontId="18" fillId="0" borderId="12" xfId="0" applyFont="1" applyBorder="1" applyAlignment="1">
      <alignment horizontal="center" vertical="center" shrinkToFit="1"/>
    </xf>
    <xf numFmtId="0" fontId="18" fillId="0" borderId="11" xfId="0" applyFont="1" applyBorder="1" applyAlignment="1">
      <alignment horizontal="center" vertical="center" shrinkToFit="1"/>
    </xf>
    <xf numFmtId="0" fontId="8" fillId="0" borderId="0" xfId="0" applyFont="1" applyAlignment="1">
      <alignment horizontal="distributed" vertical="center"/>
    </xf>
    <xf numFmtId="0" fontId="11" fillId="0" borderId="12" xfId="0" applyFont="1" applyBorder="1" applyAlignment="1">
      <alignment vertical="center"/>
    </xf>
    <xf numFmtId="0" fontId="11" fillId="0" borderId="11" xfId="0" applyFont="1" applyBorder="1" applyAlignment="1">
      <alignment vertical="center"/>
    </xf>
    <xf numFmtId="176" fontId="0" fillId="0" borderId="0" xfId="0" applyNumberFormat="1" applyFont="1" applyAlignment="1" quotePrefix="1">
      <alignment horizontal="center" vertical="center" wrapText="1"/>
    </xf>
    <xf numFmtId="176" fontId="0" fillId="0" borderId="0" xfId="0" applyNumberFormat="1" applyFont="1" applyAlignment="1">
      <alignment horizontal="center" vertical="center" wrapText="1"/>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05"/>
        </c:manualLayout>
      </c:layout>
      <c:barChart>
        <c:barDir val="bar"/>
        <c:grouping val="stacked"/>
        <c:varyColors val="0"/>
        <c:ser>
          <c:idx val="0"/>
          <c:order val="0"/>
          <c:tx>
            <c:strRef>
              <c:f>'詳細・ｸﾞﾗﾌ'!$D$3</c:f>
              <c:strCache>
                <c:ptCount val="1"/>
                <c:pt idx="0">
                  <c:v>第１次間接効果</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'詳細・ｸﾞﾗﾌ'!$D$4:$D$35</c:f>
              <c:numCache/>
            </c:numRef>
          </c:val>
        </c:ser>
        <c:ser>
          <c:idx val="1"/>
          <c:order val="1"/>
          <c:tx>
            <c:strRef>
              <c:f>'詳細・ｸﾞﾗﾌ'!$F$3</c:f>
              <c:strCache>
                <c:ptCount val="1"/>
                <c:pt idx="0">
                  <c:v>第２次間接効果</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'詳細・ｸﾞﾗﾌ'!$F$4:$F$35</c:f>
              <c:numCache/>
            </c:numRef>
          </c:val>
        </c:ser>
        <c:overlap val="100"/>
        <c:axId val="44718312"/>
        <c:axId val="21762633"/>
      </c:barChart>
      <c:catAx>
        <c:axId val="44718312"/>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21762633"/>
        <c:crosses val="autoZero"/>
        <c:auto val="1"/>
        <c:lblOffset val="100"/>
        <c:tickLblSkip val="1"/>
        <c:noMultiLvlLbl val="0"/>
      </c:catAx>
      <c:valAx>
        <c:axId val="21762633"/>
        <c:scaling>
          <c:orientation val="minMax"/>
        </c:scaling>
        <c:axPos val="t"/>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4718312"/>
        <c:crossesAt val="1"/>
        <c:crossBetween val="between"/>
        <c:dispUnits/>
      </c:valAx>
      <c:spPr>
        <a:solidFill>
          <a:srgbClr val="CCFFFF"/>
        </a:solidFill>
        <a:ln w="12700">
          <a:solidFill>
            <a:srgbClr val="808080"/>
          </a:solidFill>
        </a:ln>
      </c:spPr>
    </c:plotArea>
    <c:legend>
      <c:legendPos val="b"/>
      <c:layout>
        <c:manualLayout>
          <c:xMode val="edge"/>
          <c:yMode val="edge"/>
          <c:x val="0.132"/>
          <c:y val="0.967"/>
          <c:w val="0.61925"/>
          <c:h val="0.033"/>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05"/>
        </c:manualLayout>
      </c:layout>
      <c:barChart>
        <c:barDir val="bar"/>
        <c:grouping val="stacked"/>
        <c:varyColors val="0"/>
        <c:ser>
          <c:idx val="0"/>
          <c:order val="0"/>
          <c:tx>
            <c:strRef>
              <c:f>'詳細・ｸﾞﾗﾌ'!$N$3</c:f>
              <c:strCache>
                <c:ptCount val="1"/>
                <c:pt idx="0">
                  <c:v>第１次間接効果</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'詳細・ｸﾞﾗﾌ'!$N$4:$N$35</c:f>
              <c:numCache/>
            </c:numRef>
          </c:val>
        </c:ser>
        <c:ser>
          <c:idx val="1"/>
          <c:order val="1"/>
          <c:tx>
            <c:strRef>
              <c:f>'詳細・ｸﾞﾗﾌ'!$P$3</c:f>
              <c:strCache>
                <c:ptCount val="1"/>
                <c:pt idx="0">
                  <c:v>第２次間接効果</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'詳細・ｸﾞﾗﾌ'!$P$4:$P$35</c:f>
              <c:numCache/>
            </c:numRef>
          </c:val>
        </c:ser>
        <c:overlap val="100"/>
        <c:axId val="27136582"/>
        <c:axId val="48763375"/>
      </c:barChart>
      <c:catAx>
        <c:axId val="27136582"/>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763375"/>
        <c:crosses val="autoZero"/>
        <c:auto val="1"/>
        <c:lblOffset val="100"/>
        <c:tickLblSkip val="1"/>
        <c:noMultiLvlLbl val="0"/>
      </c:catAx>
      <c:valAx>
        <c:axId val="48763375"/>
        <c:scaling>
          <c:orientation val="minMax"/>
        </c:scaling>
        <c:axPos val="t"/>
        <c:majorGridlines>
          <c:spPr>
            <a:ln w="3175">
              <a:solidFill>
                <a:srgbClr val="000000"/>
              </a:solidFill>
            </a:ln>
          </c:spPr>
        </c:majorGridlines>
        <c:delete val="1"/>
        <c:majorTickMark val="out"/>
        <c:minorTickMark val="none"/>
        <c:tickLblPos val="nextTo"/>
        <c:crossAx val="27136582"/>
        <c:crossesAt val="1"/>
        <c:crossBetween val="between"/>
        <c:dispUnits/>
      </c:valAx>
      <c:spPr>
        <a:solidFill>
          <a:srgbClr val="CCFFFF"/>
        </a:solidFill>
        <a:ln w="12700">
          <a:solidFill>
            <a:srgbClr val="808080"/>
          </a:solidFill>
        </a:ln>
      </c:spPr>
    </c:plotArea>
    <c:legend>
      <c:legendPos val="b"/>
      <c:layout>
        <c:manualLayout>
          <c:xMode val="edge"/>
          <c:yMode val="edge"/>
          <c:x val="0.128"/>
          <c:y val="0.967"/>
          <c:w val="0.63075"/>
          <c:h val="0.033"/>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75"/>
        </c:manualLayout>
      </c:layout>
      <c:barChart>
        <c:barDir val="bar"/>
        <c:grouping val="stacked"/>
        <c:varyColors val="0"/>
        <c:ser>
          <c:idx val="0"/>
          <c:order val="0"/>
          <c:tx>
            <c:strRef>
              <c:f>'詳細・ｸﾞﾗﾌ'!$X$3</c:f>
              <c:strCache>
                <c:ptCount val="1"/>
                <c:pt idx="0">
                  <c:v>第１次間接効果</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'詳細・ｸﾞﾗﾌ'!$X$4:$X$35</c:f>
              <c:numCache/>
            </c:numRef>
          </c:val>
        </c:ser>
        <c:ser>
          <c:idx val="1"/>
          <c:order val="1"/>
          <c:tx>
            <c:strRef>
              <c:f>'詳細・ｸﾞﾗﾌ'!$Z$3</c:f>
              <c:strCache>
                <c:ptCount val="1"/>
                <c:pt idx="0">
                  <c:v>第２次間接効果</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'詳細・ｸﾞﾗﾌ'!$Z$4:$Z$35</c:f>
              <c:numCache/>
            </c:numRef>
          </c:val>
        </c:ser>
        <c:overlap val="100"/>
        <c:axId val="4851732"/>
        <c:axId val="6482501"/>
      </c:barChart>
      <c:catAx>
        <c:axId val="4851732"/>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2501"/>
        <c:crosses val="autoZero"/>
        <c:auto val="1"/>
        <c:lblOffset val="100"/>
        <c:tickLblSkip val="1"/>
        <c:noMultiLvlLbl val="0"/>
      </c:catAx>
      <c:valAx>
        <c:axId val="6482501"/>
        <c:scaling>
          <c:orientation val="minMax"/>
        </c:scaling>
        <c:axPos val="t"/>
        <c:majorGridlines>
          <c:spPr>
            <a:ln w="3175">
              <a:solidFill>
                <a:srgbClr val="000000"/>
              </a:solidFill>
            </a:ln>
          </c:spPr>
        </c:majorGridlines>
        <c:delete val="1"/>
        <c:majorTickMark val="out"/>
        <c:minorTickMark val="none"/>
        <c:tickLblPos val="nextTo"/>
        <c:crossAx val="4851732"/>
        <c:crossesAt val="1"/>
        <c:crossBetween val="between"/>
        <c:dispUnits/>
      </c:valAx>
      <c:spPr>
        <a:solidFill>
          <a:srgbClr val="CCFFFF"/>
        </a:solidFill>
        <a:ln w="12700">
          <a:solidFill>
            <a:srgbClr val="808080"/>
          </a:solidFill>
        </a:ln>
      </c:spPr>
    </c:plotArea>
    <c:legend>
      <c:legendPos val="b"/>
      <c:layout>
        <c:manualLayout>
          <c:xMode val="edge"/>
          <c:yMode val="edge"/>
          <c:x val="0.134"/>
          <c:y val="0.967"/>
          <c:w val="0.63025"/>
          <c:h val="0.033"/>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bar"/>
        <c:grouping val="stacked"/>
        <c:varyColors val="0"/>
        <c:ser>
          <c:idx val="2"/>
          <c:order val="0"/>
          <c:tx>
            <c:v>直接効果</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'詳細・ｸﾞﾗﾌ'!$C$4:$C$35</c:f>
              <c:numCache/>
            </c:numRef>
          </c:val>
        </c:ser>
        <c:overlap val="100"/>
        <c:axId val="53774802"/>
        <c:axId val="15965387"/>
      </c:barChart>
      <c:catAx>
        <c:axId val="53774802"/>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5965387"/>
        <c:crosses val="autoZero"/>
        <c:auto val="1"/>
        <c:lblOffset val="100"/>
        <c:tickLblSkip val="2"/>
        <c:noMultiLvlLbl val="0"/>
      </c:catAx>
      <c:valAx>
        <c:axId val="15965387"/>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53774802"/>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bar"/>
        <c:grouping val="stacked"/>
        <c:varyColors val="0"/>
        <c:ser>
          <c:idx val="2"/>
          <c:order val="0"/>
          <c:tx>
            <c:v>直接効果</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'詳細・ｸﾞﾗﾌ'!$M$4:$M$35</c:f>
              <c:numCache/>
            </c:numRef>
          </c:val>
        </c:ser>
        <c:overlap val="100"/>
        <c:axId val="60343040"/>
        <c:axId val="5117697"/>
      </c:barChart>
      <c:catAx>
        <c:axId val="60343040"/>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17697"/>
        <c:crosses val="autoZero"/>
        <c:auto val="1"/>
        <c:lblOffset val="100"/>
        <c:tickLblSkip val="2"/>
        <c:noMultiLvlLbl val="0"/>
      </c:catAx>
      <c:valAx>
        <c:axId val="5117697"/>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343040"/>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bar"/>
        <c:grouping val="stacked"/>
        <c:varyColors val="0"/>
        <c:ser>
          <c:idx val="2"/>
          <c:order val="0"/>
          <c:tx>
            <c:v>直接効果</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strRef>
          </c:cat>
          <c:val>
            <c:numRef>
              <c:f>'詳細・ｸﾞﾗﾌ'!$W$4:$W$35</c:f>
              <c:numCache/>
            </c:numRef>
          </c:val>
        </c:ser>
        <c:overlap val="100"/>
        <c:axId val="14195486"/>
        <c:axId val="9015911"/>
      </c:barChart>
      <c:catAx>
        <c:axId val="14195486"/>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015911"/>
        <c:crosses val="autoZero"/>
        <c:auto val="1"/>
        <c:lblOffset val="100"/>
        <c:tickLblSkip val="2"/>
        <c:noMultiLvlLbl val="0"/>
      </c:catAx>
      <c:valAx>
        <c:axId val="9015911"/>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195486"/>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明朝"/>
          <a:ea typeface="ＭＳ 明朝"/>
          <a:cs typeface="ＭＳ 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43</xdr:row>
      <xdr:rowOff>76200</xdr:rowOff>
    </xdr:from>
    <xdr:to>
      <xdr:col>2</xdr:col>
      <xdr:colOff>4762500</xdr:colOff>
      <xdr:row>43</xdr:row>
      <xdr:rowOff>76200</xdr:rowOff>
    </xdr:to>
    <xdr:sp>
      <xdr:nvSpPr>
        <xdr:cNvPr id="1" name="Line 1"/>
        <xdr:cNvSpPr>
          <a:spLocks/>
        </xdr:cNvSpPr>
      </xdr:nvSpPr>
      <xdr:spPr>
        <a:xfrm>
          <a:off x="628650" y="8191500"/>
          <a:ext cx="4724400" cy="0"/>
        </a:xfrm>
        <a:prstGeom prst="line">
          <a:avLst/>
        </a:prstGeom>
        <a:noFill/>
        <a:ln w="19050" cmpd="sng">
          <a:solidFill>
            <a:srgbClr val="FF99CC"/>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49</xdr:row>
      <xdr:rowOff>76200</xdr:rowOff>
    </xdr:from>
    <xdr:to>
      <xdr:col>2</xdr:col>
      <xdr:colOff>4762500</xdr:colOff>
      <xdr:row>49</xdr:row>
      <xdr:rowOff>76200</xdr:rowOff>
    </xdr:to>
    <xdr:sp>
      <xdr:nvSpPr>
        <xdr:cNvPr id="2" name="Line 2"/>
        <xdr:cNvSpPr>
          <a:spLocks/>
        </xdr:cNvSpPr>
      </xdr:nvSpPr>
      <xdr:spPr>
        <a:xfrm>
          <a:off x="628650" y="9229725"/>
          <a:ext cx="4724400" cy="0"/>
        </a:xfrm>
        <a:prstGeom prst="line">
          <a:avLst/>
        </a:prstGeom>
        <a:noFill/>
        <a:ln w="19050" cmpd="sng">
          <a:solidFill>
            <a:srgbClr val="FF99CC"/>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38100</xdr:rowOff>
    </xdr:from>
    <xdr:to>
      <xdr:col>8</xdr:col>
      <xdr:colOff>428625</xdr:colOff>
      <xdr:row>138</xdr:row>
      <xdr:rowOff>38100</xdr:rowOff>
    </xdr:to>
    <xdr:graphicFrame>
      <xdr:nvGraphicFramePr>
        <xdr:cNvPr id="1" name="Chart 3"/>
        <xdr:cNvGraphicFramePr/>
      </xdr:nvGraphicFramePr>
      <xdr:xfrm>
        <a:off x="0" y="21802725"/>
        <a:ext cx="9477375" cy="7962900"/>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94</xdr:row>
      <xdr:rowOff>38100</xdr:rowOff>
    </xdr:from>
    <xdr:to>
      <xdr:col>18</xdr:col>
      <xdr:colOff>304800</xdr:colOff>
      <xdr:row>138</xdr:row>
      <xdr:rowOff>38100</xdr:rowOff>
    </xdr:to>
    <xdr:graphicFrame>
      <xdr:nvGraphicFramePr>
        <xdr:cNvPr id="2" name="Chart 4"/>
        <xdr:cNvGraphicFramePr/>
      </xdr:nvGraphicFramePr>
      <xdr:xfrm>
        <a:off x="9686925" y="21802725"/>
        <a:ext cx="8924925" cy="7962900"/>
      </xdr:xfrm>
      <a:graphic>
        <a:graphicData uri="http://schemas.openxmlformats.org/drawingml/2006/chart">
          <c:chart xmlns:c="http://schemas.openxmlformats.org/drawingml/2006/chart" r:id="rId2"/>
        </a:graphicData>
      </a:graphic>
    </xdr:graphicFrame>
    <xdr:clientData/>
  </xdr:twoCellAnchor>
  <xdr:twoCellAnchor>
    <xdr:from>
      <xdr:col>20</xdr:col>
      <xdr:colOff>19050</xdr:colOff>
      <xdr:row>94</xdr:row>
      <xdr:rowOff>19050</xdr:rowOff>
    </xdr:from>
    <xdr:to>
      <xdr:col>29</xdr:col>
      <xdr:colOff>38100</xdr:colOff>
      <xdr:row>138</xdr:row>
      <xdr:rowOff>38100</xdr:rowOff>
    </xdr:to>
    <xdr:graphicFrame>
      <xdr:nvGraphicFramePr>
        <xdr:cNvPr id="3" name="Chart 5"/>
        <xdr:cNvGraphicFramePr/>
      </xdr:nvGraphicFramePr>
      <xdr:xfrm>
        <a:off x="19107150" y="21783675"/>
        <a:ext cx="9601200" cy="7981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47</xdr:row>
      <xdr:rowOff>0</xdr:rowOff>
    </xdr:from>
    <xdr:to>
      <xdr:col>9</xdr:col>
      <xdr:colOff>0</xdr:colOff>
      <xdr:row>87</xdr:row>
      <xdr:rowOff>9525</xdr:rowOff>
    </xdr:to>
    <xdr:graphicFrame>
      <xdr:nvGraphicFramePr>
        <xdr:cNvPr id="4" name="Chart 6"/>
        <xdr:cNvGraphicFramePr/>
      </xdr:nvGraphicFramePr>
      <xdr:xfrm>
        <a:off x="0" y="14030325"/>
        <a:ext cx="9572625" cy="6334125"/>
      </xdr:xfrm>
      <a:graphic>
        <a:graphicData uri="http://schemas.openxmlformats.org/drawingml/2006/chart">
          <c:chart xmlns:c="http://schemas.openxmlformats.org/drawingml/2006/chart" r:id="rId4"/>
        </a:graphicData>
      </a:graphic>
    </xdr:graphicFrame>
    <xdr:clientData/>
  </xdr:twoCellAnchor>
  <xdr:twoCellAnchor>
    <xdr:from>
      <xdr:col>10</xdr:col>
      <xdr:colOff>85725</xdr:colOff>
      <xdr:row>47</xdr:row>
      <xdr:rowOff>9525</xdr:rowOff>
    </xdr:from>
    <xdr:to>
      <xdr:col>19</xdr:col>
      <xdr:colOff>95250</xdr:colOff>
      <xdr:row>87</xdr:row>
      <xdr:rowOff>9525</xdr:rowOff>
    </xdr:to>
    <xdr:graphicFrame>
      <xdr:nvGraphicFramePr>
        <xdr:cNvPr id="5" name="Chart 7"/>
        <xdr:cNvGraphicFramePr/>
      </xdr:nvGraphicFramePr>
      <xdr:xfrm>
        <a:off x="9906000" y="14039850"/>
        <a:ext cx="9029700" cy="632460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47</xdr:row>
      <xdr:rowOff>0</xdr:rowOff>
    </xdr:from>
    <xdr:to>
      <xdr:col>29</xdr:col>
      <xdr:colOff>19050</xdr:colOff>
      <xdr:row>87</xdr:row>
      <xdr:rowOff>28575</xdr:rowOff>
    </xdr:to>
    <xdr:graphicFrame>
      <xdr:nvGraphicFramePr>
        <xdr:cNvPr id="6" name="Chart 8"/>
        <xdr:cNvGraphicFramePr/>
      </xdr:nvGraphicFramePr>
      <xdr:xfrm>
        <a:off x="19088100" y="14030325"/>
        <a:ext cx="9601200" cy="6353175"/>
      </xdr:xfrm>
      <a:graphic>
        <a:graphicData uri="http://schemas.openxmlformats.org/drawingml/2006/chart">
          <c:chart xmlns:c="http://schemas.openxmlformats.org/drawingml/2006/chart" r:id="rId6"/>
        </a:graphicData>
      </a:graphic>
    </xdr:graphicFrame>
    <xdr:clientData/>
  </xdr:twoCellAnchor>
  <xdr:twoCellAnchor>
    <xdr:from>
      <xdr:col>2</xdr:col>
      <xdr:colOff>352425</xdr:colOff>
      <xdr:row>44</xdr:row>
      <xdr:rowOff>171450</xdr:rowOff>
    </xdr:from>
    <xdr:to>
      <xdr:col>7</xdr:col>
      <xdr:colOff>285750</xdr:colOff>
      <xdr:row>46</xdr:row>
      <xdr:rowOff>47625</xdr:rowOff>
    </xdr:to>
    <xdr:sp>
      <xdr:nvSpPr>
        <xdr:cNvPr id="7" name="Text Box 9"/>
        <xdr:cNvSpPr txBox="1">
          <a:spLocks noChangeArrowheads="1"/>
        </xdr:cNvSpPr>
      </xdr:nvSpPr>
      <xdr:spPr>
        <a:xfrm>
          <a:off x="2600325" y="13544550"/>
          <a:ext cx="5257800"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明朝"/>
              <a:ea typeface="ＭＳ 明朝"/>
              <a:cs typeface="ＭＳ 明朝"/>
            </a:rPr>
            <a:t>生産誘発額</a:t>
          </a:r>
        </a:p>
      </xdr:txBody>
    </xdr:sp>
    <xdr:clientData/>
  </xdr:twoCellAnchor>
  <xdr:twoCellAnchor>
    <xdr:from>
      <xdr:col>2</xdr:col>
      <xdr:colOff>285750</xdr:colOff>
      <xdr:row>91</xdr:row>
      <xdr:rowOff>209550</xdr:rowOff>
    </xdr:from>
    <xdr:to>
      <xdr:col>7</xdr:col>
      <xdr:colOff>219075</xdr:colOff>
      <xdr:row>93</xdr:row>
      <xdr:rowOff>95250</xdr:rowOff>
    </xdr:to>
    <xdr:sp>
      <xdr:nvSpPr>
        <xdr:cNvPr id="8" name="Text Box 10"/>
        <xdr:cNvSpPr txBox="1">
          <a:spLocks noChangeArrowheads="1"/>
        </xdr:cNvSpPr>
      </xdr:nvSpPr>
      <xdr:spPr>
        <a:xfrm>
          <a:off x="2533650" y="21278850"/>
          <a:ext cx="5257800" cy="361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明朝"/>
              <a:ea typeface="ＭＳ 明朝"/>
              <a:cs typeface="ＭＳ 明朝"/>
            </a:rPr>
            <a:t>生産誘発額</a:t>
          </a:r>
        </a:p>
      </xdr:txBody>
    </xdr:sp>
    <xdr:clientData/>
  </xdr:twoCellAnchor>
  <xdr:twoCellAnchor>
    <xdr:from>
      <xdr:col>11</xdr:col>
      <xdr:colOff>1438275</xdr:colOff>
      <xdr:row>44</xdr:row>
      <xdr:rowOff>152400</xdr:rowOff>
    </xdr:from>
    <xdr:to>
      <xdr:col>17</xdr:col>
      <xdr:colOff>942975</xdr:colOff>
      <xdr:row>46</xdr:row>
      <xdr:rowOff>95250</xdr:rowOff>
    </xdr:to>
    <xdr:sp>
      <xdr:nvSpPr>
        <xdr:cNvPr id="9" name="Text Box 11"/>
        <xdr:cNvSpPr txBox="1">
          <a:spLocks noChangeArrowheads="1"/>
        </xdr:cNvSpPr>
      </xdr:nvSpPr>
      <xdr:spPr>
        <a:xfrm>
          <a:off x="11553825" y="13525500"/>
          <a:ext cx="6353175" cy="4191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明朝"/>
              <a:ea typeface="ＭＳ 明朝"/>
              <a:cs typeface="ＭＳ 明朝"/>
            </a:rPr>
            <a:t>粗付加価値誘発額</a:t>
          </a:r>
        </a:p>
      </xdr:txBody>
    </xdr:sp>
    <xdr:clientData/>
  </xdr:twoCellAnchor>
  <xdr:twoCellAnchor>
    <xdr:from>
      <xdr:col>12</xdr:col>
      <xdr:colOff>47625</xdr:colOff>
      <xdr:row>91</xdr:row>
      <xdr:rowOff>190500</xdr:rowOff>
    </xdr:from>
    <xdr:to>
      <xdr:col>17</xdr:col>
      <xdr:colOff>1133475</xdr:colOff>
      <xdr:row>93</xdr:row>
      <xdr:rowOff>142875</xdr:rowOff>
    </xdr:to>
    <xdr:sp>
      <xdr:nvSpPr>
        <xdr:cNvPr id="10" name="Text Box 12"/>
        <xdr:cNvSpPr txBox="1">
          <a:spLocks noChangeArrowheads="1"/>
        </xdr:cNvSpPr>
      </xdr:nvSpPr>
      <xdr:spPr>
        <a:xfrm>
          <a:off x="12115800" y="21259800"/>
          <a:ext cx="5981700"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明朝"/>
              <a:ea typeface="ＭＳ 明朝"/>
              <a:cs typeface="ＭＳ 明朝"/>
            </a:rPr>
            <a:t>粗付加価値誘発額</a:t>
          </a:r>
        </a:p>
      </xdr:txBody>
    </xdr:sp>
    <xdr:clientData/>
  </xdr:twoCellAnchor>
  <xdr:twoCellAnchor>
    <xdr:from>
      <xdr:col>22</xdr:col>
      <xdr:colOff>314325</xdr:colOff>
      <xdr:row>44</xdr:row>
      <xdr:rowOff>152400</xdr:rowOff>
    </xdr:from>
    <xdr:to>
      <xdr:col>27</xdr:col>
      <xdr:colOff>333375</xdr:colOff>
      <xdr:row>46</xdr:row>
      <xdr:rowOff>47625</xdr:rowOff>
    </xdr:to>
    <xdr:sp>
      <xdr:nvSpPr>
        <xdr:cNvPr id="11" name="Text Box 13"/>
        <xdr:cNvSpPr txBox="1">
          <a:spLocks noChangeArrowheads="1"/>
        </xdr:cNvSpPr>
      </xdr:nvSpPr>
      <xdr:spPr>
        <a:xfrm>
          <a:off x="21650325" y="13525500"/>
          <a:ext cx="559117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明朝"/>
              <a:ea typeface="ＭＳ 明朝"/>
              <a:cs typeface="ＭＳ 明朝"/>
            </a:rPr>
            <a:t>雇用者所得誘発額</a:t>
          </a:r>
        </a:p>
      </xdr:txBody>
    </xdr:sp>
    <xdr:clientData/>
  </xdr:twoCellAnchor>
  <xdr:twoCellAnchor>
    <xdr:from>
      <xdr:col>22</xdr:col>
      <xdr:colOff>314325</xdr:colOff>
      <xdr:row>91</xdr:row>
      <xdr:rowOff>152400</xdr:rowOff>
    </xdr:from>
    <xdr:to>
      <xdr:col>27</xdr:col>
      <xdr:colOff>333375</xdr:colOff>
      <xdr:row>93</xdr:row>
      <xdr:rowOff>57150</xdr:rowOff>
    </xdr:to>
    <xdr:sp>
      <xdr:nvSpPr>
        <xdr:cNvPr id="12" name="Text Box 14"/>
        <xdr:cNvSpPr txBox="1">
          <a:spLocks noChangeArrowheads="1"/>
        </xdr:cNvSpPr>
      </xdr:nvSpPr>
      <xdr:spPr>
        <a:xfrm>
          <a:off x="21650325" y="21221700"/>
          <a:ext cx="559117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明朝"/>
              <a:ea typeface="ＭＳ 明朝"/>
              <a:cs typeface="ＭＳ 明朝"/>
            </a:rPr>
            <a:t>雇用者所得誘発額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kei@pref.ishikawa.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49"/>
  <sheetViews>
    <sheetView showGridLines="0" zoomScalePageLayoutView="0" workbookViewId="0" topLeftCell="A1">
      <selection activeCell="A1" sqref="A1:C1"/>
    </sheetView>
  </sheetViews>
  <sheetFormatPr defaultColWidth="8.796875" defaultRowHeight="14.25"/>
  <cols>
    <col min="1" max="1" width="3.59765625" style="9" customWidth="1"/>
    <col min="2" max="2" width="2.59765625" style="9" customWidth="1"/>
    <col min="3" max="4" width="50.59765625" style="9" customWidth="1"/>
    <col min="5" max="16384" width="9" style="9" customWidth="1"/>
  </cols>
  <sheetData>
    <row r="1" spans="1:3" ht="13.5">
      <c r="A1" s="197" t="s">
        <v>42</v>
      </c>
      <c r="B1" s="197"/>
      <c r="C1" s="197"/>
    </row>
    <row r="3" spans="1:2" ht="13.5">
      <c r="A3" s="9" t="s">
        <v>43</v>
      </c>
      <c r="B3" s="9" t="s">
        <v>44</v>
      </c>
    </row>
    <row r="4" spans="2:4" ht="13.5">
      <c r="B4" s="198"/>
      <c r="C4" s="199"/>
      <c r="D4" s="11" t="s">
        <v>199</v>
      </c>
    </row>
    <row r="5" spans="2:4" ht="13.5">
      <c r="B5" s="13" t="s">
        <v>45</v>
      </c>
      <c r="C5" s="12" t="s">
        <v>218</v>
      </c>
      <c r="D5" s="10"/>
    </row>
    <row r="6" spans="2:4" ht="27">
      <c r="B6" s="13" t="s">
        <v>46</v>
      </c>
      <c r="C6" s="12" t="s">
        <v>200</v>
      </c>
      <c r="D6" s="10" t="s">
        <v>201</v>
      </c>
    </row>
    <row r="7" spans="2:4" ht="27">
      <c r="B7" s="13" t="s">
        <v>47</v>
      </c>
      <c r="C7" s="12" t="s">
        <v>68</v>
      </c>
      <c r="D7" s="10" t="s">
        <v>202</v>
      </c>
    </row>
    <row r="8" spans="2:4" ht="40.5">
      <c r="B8" s="13" t="s">
        <v>48</v>
      </c>
      <c r="C8" s="12" t="s">
        <v>203</v>
      </c>
      <c r="D8" s="10"/>
    </row>
    <row r="10" spans="1:3" ht="13.5">
      <c r="A10" s="9" t="s">
        <v>49</v>
      </c>
      <c r="B10" s="197" t="s">
        <v>50</v>
      </c>
      <c r="C10" s="197"/>
    </row>
    <row r="12" spans="2:3" ht="13.5">
      <c r="B12" s="197" t="s">
        <v>51</v>
      </c>
      <c r="C12" s="197"/>
    </row>
    <row r="13" spans="2:3" ht="13.5">
      <c r="B13" s="197" t="s">
        <v>204</v>
      </c>
      <c r="C13" s="197"/>
    </row>
    <row r="14" spans="2:3" ht="13.5">
      <c r="B14" s="197" t="s">
        <v>205</v>
      </c>
      <c r="C14" s="197"/>
    </row>
    <row r="15" spans="2:3" ht="13.5">
      <c r="B15" s="197" t="s">
        <v>206</v>
      </c>
      <c r="C15" s="197"/>
    </row>
    <row r="16" spans="2:3" ht="13.5">
      <c r="B16" s="197" t="s">
        <v>52</v>
      </c>
      <c r="C16" s="197"/>
    </row>
    <row r="17" spans="2:3" ht="13.5">
      <c r="B17" s="197" t="s">
        <v>207</v>
      </c>
      <c r="C17" s="197"/>
    </row>
    <row r="18" spans="2:3" ht="13.5">
      <c r="B18" s="197" t="s">
        <v>208</v>
      </c>
      <c r="C18" s="197"/>
    </row>
    <row r="19" spans="2:3" ht="13.5">
      <c r="B19" s="197" t="s">
        <v>209</v>
      </c>
      <c r="C19" s="197"/>
    </row>
    <row r="20" spans="2:3" ht="13.5">
      <c r="B20" s="197" t="s">
        <v>210</v>
      </c>
      <c r="C20" s="197"/>
    </row>
    <row r="21" ht="13.5">
      <c r="B21" s="9" t="s">
        <v>53</v>
      </c>
    </row>
    <row r="22" spans="2:3" ht="13.5">
      <c r="B22" s="197" t="s">
        <v>211</v>
      </c>
      <c r="C22" s="197"/>
    </row>
    <row r="23" spans="2:3" ht="13.5">
      <c r="B23" s="197" t="s">
        <v>212</v>
      </c>
      <c r="C23" s="197"/>
    </row>
    <row r="24" spans="2:3" ht="13.5">
      <c r="B24" s="197" t="s">
        <v>145</v>
      </c>
      <c r="C24" s="197"/>
    </row>
    <row r="25" spans="2:3" ht="13.5">
      <c r="B25" s="197" t="s">
        <v>213</v>
      </c>
      <c r="C25" s="197"/>
    </row>
    <row r="26" spans="2:3" ht="13.5">
      <c r="B26" s="197" t="s">
        <v>214</v>
      </c>
      <c r="C26" s="197"/>
    </row>
    <row r="28" spans="1:4" ht="13.5">
      <c r="A28" s="9" t="s">
        <v>54</v>
      </c>
      <c r="B28" s="197" t="s">
        <v>55</v>
      </c>
      <c r="C28" s="197"/>
      <c r="D28" s="197"/>
    </row>
    <row r="29" spans="2:4" ht="13.5">
      <c r="B29" s="197" t="s">
        <v>56</v>
      </c>
      <c r="C29" s="197"/>
      <c r="D29" s="197"/>
    </row>
    <row r="30" spans="2:4" ht="13.5">
      <c r="B30" s="197" t="s">
        <v>57</v>
      </c>
      <c r="C30" s="197"/>
      <c r="D30" s="197"/>
    </row>
    <row r="31" spans="2:4" ht="13.5">
      <c r="B31" s="197" t="s">
        <v>58</v>
      </c>
      <c r="C31" s="197"/>
      <c r="D31" s="197"/>
    </row>
    <row r="32" spans="2:4" ht="13.5">
      <c r="B32" s="197" t="s">
        <v>59</v>
      </c>
      <c r="C32" s="197"/>
      <c r="D32" s="197"/>
    </row>
    <row r="33" spans="2:4" ht="13.5">
      <c r="B33" s="197" t="s">
        <v>60</v>
      </c>
      <c r="C33" s="197"/>
      <c r="D33" s="197"/>
    </row>
    <row r="34" spans="2:4" ht="13.5">
      <c r="B34" s="197" t="s">
        <v>61</v>
      </c>
      <c r="C34" s="197"/>
      <c r="D34" s="197"/>
    </row>
    <row r="35" spans="2:4" ht="13.5">
      <c r="B35" s="197" t="s">
        <v>62</v>
      </c>
      <c r="C35" s="197"/>
      <c r="D35" s="197"/>
    </row>
    <row r="36" spans="2:4" ht="13.5">
      <c r="B36" s="197" t="s">
        <v>63</v>
      </c>
      <c r="C36" s="197"/>
      <c r="D36" s="197"/>
    </row>
    <row r="37" spans="2:4" ht="13.5">
      <c r="B37" s="197" t="s">
        <v>215</v>
      </c>
      <c r="C37" s="197"/>
      <c r="D37" s="197"/>
    </row>
    <row r="38" spans="2:4" ht="13.5">
      <c r="B38" s="197" t="s">
        <v>64</v>
      </c>
      <c r="C38" s="197"/>
      <c r="D38" s="197"/>
    </row>
    <row r="39" spans="2:4" ht="13.5">
      <c r="B39" s="197" t="s">
        <v>65</v>
      </c>
      <c r="C39" s="197"/>
      <c r="D39" s="197"/>
    </row>
    <row r="40" spans="2:4" ht="13.5">
      <c r="B40" s="197" t="s">
        <v>66</v>
      </c>
      <c r="C40" s="197"/>
      <c r="D40" s="197"/>
    </row>
    <row r="41" spans="2:4" ht="13.5">
      <c r="B41" s="197" t="s">
        <v>67</v>
      </c>
      <c r="C41" s="197"/>
      <c r="D41" s="197"/>
    </row>
    <row r="45" ht="13.5">
      <c r="C45" s="29" t="s">
        <v>198</v>
      </c>
    </row>
    <row r="46" ht="13.5">
      <c r="C46" s="9" t="s">
        <v>227</v>
      </c>
    </row>
    <row r="47" ht="13.5">
      <c r="C47" s="9" t="s">
        <v>216</v>
      </c>
    </row>
    <row r="48" ht="13.5">
      <c r="C48" s="9" t="s">
        <v>217</v>
      </c>
    </row>
    <row r="49" ht="13.5">
      <c r="C49" s="108" t="s">
        <v>225</v>
      </c>
    </row>
  </sheetData>
  <sheetProtection/>
  <mergeCells count="31">
    <mergeCell ref="A1:C1"/>
    <mergeCell ref="B4:C4"/>
    <mergeCell ref="B15:C15"/>
    <mergeCell ref="B16:C16"/>
    <mergeCell ref="B17:C17"/>
    <mergeCell ref="B18:C18"/>
    <mergeCell ref="B10:C10"/>
    <mergeCell ref="B12:C12"/>
    <mergeCell ref="B31:D31"/>
    <mergeCell ref="B41:D41"/>
    <mergeCell ref="B28:D28"/>
    <mergeCell ref="B26:C26"/>
    <mergeCell ref="B22:C22"/>
    <mergeCell ref="B23:C23"/>
    <mergeCell ref="B24:C24"/>
    <mergeCell ref="B25:C25"/>
    <mergeCell ref="B37:D37"/>
    <mergeCell ref="B40:D40"/>
    <mergeCell ref="B13:C13"/>
    <mergeCell ref="B14:C14"/>
    <mergeCell ref="B19:C19"/>
    <mergeCell ref="B20:C20"/>
    <mergeCell ref="B29:D29"/>
    <mergeCell ref="B30:D30"/>
    <mergeCell ref="B32:D32"/>
    <mergeCell ref="B38:D38"/>
    <mergeCell ref="B39:D39"/>
    <mergeCell ref="B34:D34"/>
    <mergeCell ref="B35:D35"/>
    <mergeCell ref="B36:D36"/>
    <mergeCell ref="B33:D33"/>
  </mergeCells>
  <hyperlinks>
    <hyperlink ref="C49" r:id="rId1" display="  E-mail　toukei@pref.ishikawa.lg.jp"/>
  </hyperlinks>
  <printOptions verticalCentered="1"/>
  <pageMargins left="0.7874015748031497" right="0.7874015748031497" top="0.984251968503937" bottom="0.984251968503937" header="0.5118110236220472" footer="0.5118110236220472"/>
  <pageSetup fitToHeight="1" fitToWidth="1" horizontalDpi="300" verticalDpi="300" orientation="landscape" paperSize="12" r:id="rId3"/>
  <headerFooter alignWithMargins="0">
    <oddHeader>&amp;LFILE=&amp;F,SHEET=&amp;A</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T66"/>
  <sheetViews>
    <sheetView showGridLines="0" tabSelected="1" zoomScalePageLayoutView="0" workbookViewId="0" topLeftCell="A1">
      <selection activeCell="B1" sqref="B1"/>
    </sheetView>
  </sheetViews>
  <sheetFormatPr defaultColWidth="8.796875" defaultRowHeight="18" customHeight="1"/>
  <cols>
    <col min="1" max="1" width="2.3984375" style="64" customWidth="1"/>
    <col min="2" max="2" width="4.3984375" style="64" customWidth="1"/>
    <col min="3" max="3" width="20.59765625" style="64" customWidth="1"/>
    <col min="4" max="4" width="2.59765625" style="64" customWidth="1"/>
    <col min="5" max="5" width="3.59765625" style="64" customWidth="1"/>
    <col min="6" max="6" width="4.59765625" style="64" customWidth="1"/>
    <col min="7" max="7" width="2.5" style="64" customWidth="1"/>
    <col min="8" max="9" width="2.3984375" style="64" customWidth="1"/>
    <col min="10" max="10" width="3" style="64" customWidth="1"/>
    <col min="11" max="11" width="2.8984375" style="64" customWidth="1"/>
    <col min="12" max="13" width="4.59765625" style="64" customWidth="1"/>
    <col min="14" max="14" width="3" style="64" customWidth="1"/>
    <col min="15" max="15" width="11.8984375" style="64" customWidth="1"/>
    <col min="16" max="16" width="13.5" style="64" customWidth="1"/>
    <col min="17" max="31" width="4.59765625" style="64" customWidth="1"/>
    <col min="32" max="16384" width="9" style="64" customWidth="1"/>
  </cols>
  <sheetData>
    <row r="1" spans="3:5" ht="11.25" customHeight="1">
      <c r="C1" s="65"/>
      <c r="E1" s="66" t="s">
        <v>197</v>
      </c>
    </row>
    <row r="2" spans="2:3" ht="11.25" customHeight="1">
      <c r="B2" s="214" t="s">
        <v>146</v>
      </c>
      <c r="C2" s="214"/>
    </row>
    <row r="3" spans="2:6" ht="13.5">
      <c r="B3" s="67" t="s">
        <v>147</v>
      </c>
      <c r="C3" s="67" t="s">
        <v>148</v>
      </c>
      <c r="E3" s="68" t="s">
        <v>74</v>
      </c>
      <c r="F3" s="69" t="s">
        <v>149</v>
      </c>
    </row>
    <row r="4" spans="2:6" ht="11.25" customHeight="1">
      <c r="B4" s="70">
        <v>1</v>
      </c>
      <c r="C4" s="71" t="s">
        <v>4</v>
      </c>
      <c r="F4" s="64" t="s">
        <v>150</v>
      </c>
    </row>
    <row r="5" spans="2:3" ht="11.25" customHeight="1" thickBot="1">
      <c r="B5" s="70">
        <v>2</v>
      </c>
      <c r="C5" s="71" t="s">
        <v>5</v>
      </c>
    </row>
    <row r="6" spans="2:15" ht="11.25" customHeight="1" thickTop="1">
      <c r="B6" s="70">
        <v>3</v>
      </c>
      <c r="C6" s="71" t="s">
        <v>6</v>
      </c>
      <c r="D6" s="215"/>
      <c r="E6" s="215"/>
      <c r="L6" s="204">
        <v>1</v>
      </c>
      <c r="M6" s="205"/>
      <c r="O6" s="217" t="str">
        <f>IF(L6&lt;1,"範囲外です。",IF(L6&gt;32,"範囲外です。",VLOOKUP(L6,B4:C35,2)))</f>
        <v>農林水産業</v>
      </c>
    </row>
    <row r="7" spans="2:15" ht="11.25" customHeight="1" thickBot="1">
      <c r="B7" s="70">
        <v>4</v>
      </c>
      <c r="C7" s="71" t="s">
        <v>7</v>
      </c>
      <c r="D7" s="216"/>
      <c r="E7" s="216"/>
      <c r="L7" s="206"/>
      <c r="M7" s="207"/>
      <c r="O7" s="217"/>
    </row>
    <row r="8" spans="2:3" ht="11.25" customHeight="1" thickTop="1">
      <c r="B8" s="70">
        <v>5</v>
      </c>
      <c r="C8" s="71" t="s">
        <v>8</v>
      </c>
    </row>
    <row r="9" spans="2:3" ht="11.25" customHeight="1">
      <c r="B9" s="70">
        <v>6</v>
      </c>
      <c r="C9" s="71" t="s">
        <v>9</v>
      </c>
    </row>
    <row r="10" spans="2:8" ht="11.25" customHeight="1">
      <c r="B10" s="70">
        <v>7</v>
      </c>
      <c r="C10" s="71" t="s">
        <v>10</v>
      </c>
      <c r="E10" s="68" t="s">
        <v>151</v>
      </c>
      <c r="F10" s="69" t="s">
        <v>73</v>
      </c>
      <c r="G10" s="69"/>
      <c r="H10" s="69"/>
    </row>
    <row r="11" spans="2:3" ht="11.25" customHeight="1" thickBot="1">
      <c r="B11" s="70">
        <v>8</v>
      </c>
      <c r="C11" s="71" t="s">
        <v>11</v>
      </c>
    </row>
    <row r="12" spans="2:13" ht="11.25" customHeight="1" thickTop="1">
      <c r="B12" s="70">
        <v>9</v>
      </c>
      <c r="C12" s="71" t="s">
        <v>12</v>
      </c>
      <c r="F12" s="73" t="s">
        <v>152</v>
      </c>
      <c r="G12" s="73"/>
      <c r="H12" s="74"/>
      <c r="I12" s="74"/>
      <c r="J12" s="73"/>
      <c r="L12" s="204">
        <v>100</v>
      </c>
      <c r="M12" s="208"/>
    </row>
    <row r="13" spans="2:16" ht="11.25" customHeight="1" thickBot="1">
      <c r="B13" s="70">
        <v>10</v>
      </c>
      <c r="C13" s="71" t="s">
        <v>13</v>
      </c>
      <c r="F13" s="73"/>
      <c r="G13" s="73"/>
      <c r="H13" s="74"/>
      <c r="I13" s="74"/>
      <c r="J13" s="73"/>
      <c r="L13" s="209"/>
      <c r="M13" s="210"/>
      <c r="N13" s="75"/>
      <c r="O13" s="76"/>
      <c r="P13" s="77"/>
    </row>
    <row r="14" spans="2:3" ht="11.25" customHeight="1" thickTop="1">
      <c r="B14" s="70">
        <v>11</v>
      </c>
      <c r="C14" s="71" t="s">
        <v>14</v>
      </c>
    </row>
    <row r="15" spans="2:13" ht="11.25" customHeight="1">
      <c r="B15" s="70">
        <v>12</v>
      </c>
      <c r="C15" s="71" t="s">
        <v>15</v>
      </c>
      <c r="F15" s="73" t="s">
        <v>153</v>
      </c>
      <c r="G15" s="75"/>
      <c r="L15" s="231" t="s">
        <v>71</v>
      </c>
      <c r="M15" s="232"/>
    </row>
    <row r="16" spans="2:13" ht="11.25" customHeight="1">
      <c r="B16" s="70">
        <v>13</v>
      </c>
      <c r="C16" s="71" t="s">
        <v>16</v>
      </c>
      <c r="F16" s="75"/>
      <c r="G16" s="75"/>
      <c r="L16" s="232"/>
      <c r="M16" s="232"/>
    </row>
    <row r="17" spans="2:3" ht="11.25" customHeight="1">
      <c r="B17" s="70">
        <v>14</v>
      </c>
      <c r="C17" s="71" t="s">
        <v>17</v>
      </c>
    </row>
    <row r="18" spans="2:3" ht="11.25" customHeight="1">
      <c r="B18" s="70">
        <v>15</v>
      </c>
      <c r="C18" s="71" t="s">
        <v>18</v>
      </c>
    </row>
    <row r="19" spans="2:6" ht="11.25" customHeight="1">
      <c r="B19" s="70">
        <v>16</v>
      </c>
      <c r="C19" s="71" t="s">
        <v>19</v>
      </c>
      <c r="E19" s="68" t="s">
        <v>75</v>
      </c>
      <c r="F19" s="69" t="s">
        <v>156</v>
      </c>
    </row>
    <row r="20" spans="2:6" ht="11.25" customHeight="1">
      <c r="B20" s="70">
        <v>17</v>
      </c>
      <c r="C20" s="71" t="s">
        <v>20</v>
      </c>
      <c r="E20" s="78"/>
      <c r="F20" s="79" t="s">
        <v>196</v>
      </c>
    </row>
    <row r="21" spans="2:5" ht="11.25" customHeight="1" thickBot="1">
      <c r="B21" s="70">
        <v>18</v>
      </c>
      <c r="C21" s="71" t="s">
        <v>21</v>
      </c>
      <c r="E21" s="78"/>
    </row>
    <row r="22" spans="2:20" ht="11.25" customHeight="1" thickTop="1">
      <c r="B22" s="70">
        <v>19</v>
      </c>
      <c r="C22" s="71" t="s">
        <v>22</v>
      </c>
      <c r="F22" s="64" t="s">
        <v>154</v>
      </c>
      <c r="G22" s="73"/>
      <c r="H22" s="73"/>
      <c r="I22" s="73"/>
      <c r="J22" s="73"/>
      <c r="K22" s="73"/>
      <c r="L22" s="204">
        <v>20</v>
      </c>
      <c r="M22" s="205"/>
      <c r="N22" s="110"/>
      <c r="O22" s="213" t="s">
        <v>222</v>
      </c>
      <c r="P22" s="211" t="s">
        <v>220</v>
      </c>
      <c r="Q22" s="75"/>
      <c r="R22" s="75"/>
      <c r="S22" s="80"/>
      <c r="T22" s="80"/>
    </row>
    <row r="23" spans="2:20" ht="11.25" customHeight="1" thickBot="1">
      <c r="B23" s="70">
        <v>20</v>
      </c>
      <c r="C23" s="71" t="s">
        <v>23</v>
      </c>
      <c r="F23" s="73"/>
      <c r="G23" s="73"/>
      <c r="H23" s="73"/>
      <c r="I23" s="73"/>
      <c r="J23" s="73"/>
      <c r="K23" s="73"/>
      <c r="L23" s="206"/>
      <c r="M23" s="207"/>
      <c r="N23" s="110"/>
      <c r="O23" s="213"/>
      <c r="P23" s="212"/>
      <c r="Q23" s="75"/>
      <c r="R23" s="75"/>
      <c r="S23" s="80"/>
      <c r="T23" s="80"/>
    </row>
    <row r="24" spans="2:20" ht="11.25" customHeight="1" thickTop="1">
      <c r="B24" s="70">
        <v>21</v>
      </c>
      <c r="C24" s="71" t="s">
        <v>24</v>
      </c>
      <c r="N24" s="81"/>
      <c r="P24" s="111" t="s">
        <v>223</v>
      </c>
      <c r="S24" s="72"/>
      <c r="T24" s="72"/>
    </row>
    <row r="25" spans="2:16" ht="11.25" customHeight="1">
      <c r="B25" s="70">
        <v>22</v>
      </c>
      <c r="C25" s="71" t="s">
        <v>25</v>
      </c>
      <c r="F25" s="73" t="s">
        <v>155</v>
      </c>
      <c r="L25" s="200">
        <f>IF($L$22&lt;10,"未設定",IF($P22="石川県",IF(VLOOKUP($L$22,$B$40:$C$50,2)&gt;0,VLOOKUP($L$22,$B$40:$C$50,2)/100,"未設定"),IF(VLOOKUP($L$22,$B$53:$C$63,2)&gt;0,VLOOKUP($L$22,$B$53:$C$63,2)/100,"未設定")))</f>
        <v>0.6829999999999999</v>
      </c>
      <c r="M25" s="201"/>
      <c r="N25" s="82"/>
      <c r="O25" s="76"/>
      <c r="P25" s="77"/>
    </row>
    <row r="26" spans="2:13" ht="11.25" customHeight="1">
      <c r="B26" s="70">
        <v>23</v>
      </c>
      <c r="C26" s="71" t="s">
        <v>26</v>
      </c>
      <c r="L26" s="202"/>
      <c r="M26" s="203"/>
    </row>
    <row r="27" spans="2:3" ht="11.25" customHeight="1">
      <c r="B27" s="70">
        <v>24</v>
      </c>
      <c r="C27" s="71" t="s">
        <v>27</v>
      </c>
    </row>
    <row r="28" spans="2:3" ht="11.25" customHeight="1">
      <c r="B28" s="70">
        <v>25</v>
      </c>
      <c r="C28" s="71" t="s">
        <v>28</v>
      </c>
    </row>
    <row r="29" spans="2:3" ht="11.25" customHeight="1">
      <c r="B29" s="70">
        <v>26</v>
      </c>
      <c r="C29" s="71" t="s">
        <v>29</v>
      </c>
    </row>
    <row r="30" spans="2:3" ht="11.25" customHeight="1">
      <c r="B30" s="70">
        <v>27</v>
      </c>
      <c r="C30" s="71" t="s">
        <v>30</v>
      </c>
    </row>
    <row r="31" spans="2:3" ht="11.25" customHeight="1">
      <c r="B31" s="70">
        <v>28</v>
      </c>
      <c r="C31" s="71" t="s">
        <v>31</v>
      </c>
    </row>
    <row r="32" spans="2:3" ht="11.25" customHeight="1">
      <c r="B32" s="70">
        <v>29</v>
      </c>
      <c r="C32" s="71" t="s">
        <v>32</v>
      </c>
    </row>
    <row r="33" spans="2:3" ht="11.25" customHeight="1">
      <c r="B33" s="70">
        <v>30</v>
      </c>
      <c r="C33" s="71" t="s">
        <v>33</v>
      </c>
    </row>
    <row r="34" spans="2:3" ht="11.25" customHeight="1">
      <c r="B34" s="70">
        <v>31</v>
      </c>
      <c r="C34" s="71" t="s">
        <v>34</v>
      </c>
    </row>
    <row r="35" spans="2:3" ht="11.25" customHeight="1">
      <c r="B35" s="70">
        <v>32</v>
      </c>
      <c r="C35" s="71" t="s">
        <v>35</v>
      </c>
    </row>
    <row r="36" ht="11.25" customHeight="1"/>
    <row r="37" ht="11.25" customHeight="1">
      <c r="B37" s="83" t="s">
        <v>156</v>
      </c>
    </row>
    <row r="38" spans="2:3" ht="11.25" customHeight="1">
      <c r="B38" s="70"/>
      <c r="C38" s="84" t="s">
        <v>195</v>
      </c>
    </row>
    <row r="39" spans="2:3" ht="11.25" customHeight="1">
      <c r="B39" s="112" t="s">
        <v>224</v>
      </c>
      <c r="C39" s="109" t="s">
        <v>220</v>
      </c>
    </row>
    <row r="40" spans="2:3" ht="11.25" customHeight="1">
      <c r="B40" s="70">
        <v>12</v>
      </c>
      <c r="C40" s="85">
        <v>68.4</v>
      </c>
    </row>
    <row r="41" spans="2:3" ht="11.25" customHeight="1">
      <c r="B41" s="70">
        <v>13</v>
      </c>
      <c r="C41" s="85">
        <v>70.5</v>
      </c>
    </row>
    <row r="42" spans="2:3" ht="11.25" customHeight="1">
      <c r="B42" s="70">
        <v>14</v>
      </c>
      <c r="C42" s="85">
        <v>71.9</v>
      </c>
    </row>
    <row r="43" spans="2:3" ht="11.25" customHeight="1">
      <c r="B43" s="70">
        <v>15</v>
      </c>
      <c r="C43" s="85">
        <v>73.2</v>
      </c>
    </row>
    <row r="44" spans="2:3" ht="11.25" customHeight="1">
      <c r="B44" s="70">
        <v>16</v>
      </c>
      <c r="C44" s="85">
        <v>71.1</v>
      </c>
    </row>
    <row r="45" spans="2:3" ht="11.25" customHeight="1">
      <c r="B45" s="70">
        <v>17</v>
      </c>
      <c r="C45" s="85">
        <v>57.8</v>
      </c>
    </row>
    <row r="46" spans="2:3" ht="11.25" customHeight="1">
      <c r="B46" s="70">
        <v>18</v>
      </c>
      <c r="C46" s="85">
        <v>76.4</v>
      </c>
    </row>
    <row r="47" spans="2:3" ht="11.25" customHeight="1">
      <c r="B47" s="70">
        <v>19</v>
      </c>
      <c r="C47" s="85">
        <v>67.8</v>
      </c>
    </row>
    <row r="48" spans="2:3" ht="11.25" customHeight="1">
      <c r="B48" s="70">
        <v>20</v>
      </c>
      <c r="C48" s="85">
        <v>68.3</v>
      </c>
    </row>
    <row r="49" spans="2:3" ht="11.25" customHeight="1">
      <c r="B49" s="70">
        <v>21</v>
      </c>
      <c r="C49" s="85"/>
    </row>
    <row r="50" spans="2:3" ht="11.25" customHeight="1">
      <c r="B50" s="70">
        <v>22</v>
      </c>
      <c r="C50" s="85"/>
    </row>
    <row r="51" ht="2.25" customHeight="1"/>
    <row r="52" spans="2:3" ht="11.25" customHeight="1">
      <c r="B52" s="112" t="s">
        <v>224</v>
      </c>
      <c r="C52" s="109" t="s">
        <v>221</v>
      </c>
    </row>
    <row r="53" spans="2:3" ht="11.25" customHeight="1">
      <c r="B53" s="70">
        <v>12</v>
      </c>
      <c r="C53" s="85">
        <v>72.1</v>
      </c>
    </row>
    <row r="54" spans="2:3" ht="11.25" customHeight="1">
      <c r="B54" s="70">
        <v>13</v>
      </c>
      <c r="C54" s="85">
        <v>72.1</v>
      </c>
    </row>
    <row r="55" spans="2:3" ht="11.25" customHeight="1">
      <c r="B55" s="70">
        <v>14</v>
      </c>
      <c r="C55" s="85">
        <v>73</v>
      </c>
    </row>
    <row r="56" spans="2:3" ht="11.25" customHeight="1">
      <c r="B56" s="70">
        <v>15</v>
      </c>
      <c r="C56" s="85">
        <v>74.1</v>
      </c>
    </row>
    <row r="57" spans="2:3" ht="11.25" customHeight="1">
      <c r="B57" s="70">
        <v>16</v>
      </c>
      <c r="C57" s="85">
        <v>74.3</v>
      </c>
    </row>
    <row r="58" spans="2:3" ht="11.25" customHeight="1">
      <c r="B58" s="70">
        <v>17</v>
      </c>
      <c r="C58" s="85">
        <v>74.7</v>
      </c>
    </row>
    <row r="59" spans="2:3" ht="11.25" customHeight="1">
      <c r="B59" s="70">
        <v>18</v>
      </c>
      <c r="C59" s="85">
        <v>72.5</v>
      </c>
    </row>
    <row r="60" spans="2:3" ht="11.25" customHeight="1">
      <c r="B60" s="70">
        <v>19</v>
      </c>
      <c r="C60" s="85">
        <v>73.1</v>
      </c>
    </row>
    <row r="61" spans="2:3" ht="11.25" customHeight="1">
      <c r="B61" s="70">
        <v>20</v>
      </c>
      <c r="C61" s="85">
        <v>73.4</v>
      </c>
    </row>
    <row r="62" spans="2:3" ht="11.25" customHeight="1">
      <c r="B62" s="70">
        <v>21</v>
      </c>
      <c r="C62" s="85"/>
    </row>
    <row r="63" spans="2:3" ht="11.25" customHeight="1">
      <c r="B63" s="70">
        <v>22</v>
      </c>
      <c r="C63" s="85"/>
    </row>
    <row r="64" ht="18" customHeight="1">
      <c r="B64" s="113" t="s">
        <v>226</v>
      </c>
    </row>
    <row r="65" ht="18" customHeight="1" hidden="1">
      <c r="C65" s="64" t="s">
        <v>220</v>
      </c>
    </row>
    <row r="66" ht="18" customHeight="1" hidden="1">
      <c r="C66" s="64" t="s">
        <v>221</v>
      </c>
    </row>
  </sheetData>
  <sheetProtection/>
  <mergeCells count="11">
    <mergeCell ref="B2:C2"/>
    <mergeCell ref="D6:E6"/>
    <mergeCell ref="D7:E7"/>
    <mergeCell ref="O6:O7"/>
    <mergeCell ref="L25:M26"/>
    <mergeCell ref="L22:M23"/>
    <mergeCell ref="L6:M7"/>
    <mergeCell ref="L12:M13"/>
    <mergeCell ref="L15:M16"/>
    <mergeCell ref="P22:P23"/>
    <mergeCell ref="O22:O23"/>
  </mergeCells>
  <dataValidations count="1">
    <dataValidation type="list" showInputMessage="1" showErrorMessage="1" sqref="P22:P23">
      <formula1>$C$65:$C$66</formula1>
    </dataValidation>
  </dataValidations>
  <printOptions/>
  <pageMargins left="0.78740157480315" right="0.78740157480315" top="0.984251968503937" bottom="0.984251968503937" header="0.511811023622047" footer="0.511811023622047"/>
  <pageSetup fitToHeight="1" fitToWidth="1" horizontalDpi="300" verticalDpi="300" orientation="landscape" paperSize="9" scale="84" r:id="rId1"/>
  <headerFooter alignWithMargins="0">
    <oddHeader>&amp;LFILE=&amp;F,SHEET=&amp;A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H17"/>
  <sheetViews>
    <sheetView showGridLines="0" zoomScale="75" zoomScaleNormal="75" zoomScalePageLayoutView="0" workbookViewId="0" topLeftCell="A1">
      <selection activeCell="A1" sqref="A1"/>
    </sheetView>
  </sheetViews>
  <sheetFormatPr defaultColWidth="20.59765625" defaultRowHeight="24" customHeight="1"/>
  <cols>
    <col min="1" max="1" width="2.8984375" style="21" customWidth="1"/>
    <col min="2" max="3" width="20.59765625" style="21" customWidth="1"/>
    <col min="4" max="4" width="5.59765625" style="21" customWidth="1"/>
    <col min="5" max="5" width="20.59765625" style="21" customWidth="1"/>
    <col min="6" max="6" width="5.59765625" style="21" customWidth="1"/>
    <col min="7" max="7" width="20.59765625" style="21" customWidth="1"/>
    <col min="8" max="8" width="5.59765625" style="21" customWidth="1"/>
    <col min="9" max="16384" width="20.59765625" style="21" customWidth="1"/>
  </cols>
  <sheetData>
    <row r="1" ht="11.25" customHeight="1" thickBot="1"/>
    <row r="2" spans="2:8" ht="30" customHeight="1" thickBot="1" thickTop="1">
      <c r="B2" s="218" t="str">
        <f>VLOOKUP('入力SHEET'!$L$6,'入力SHEET'!B4:C35,2)&amp;"部門に"&amp;'入力SHEET'!L12&amp;'入力SHEET'!L15&amp;"の需要が発生した場合の経済波及効果分析結果"</f>
        <v>農林水産業部門に100億円の需要が発生した場合の経済波及効果分析結果</v>
      </c>
      <c r="C2" s="219"/>
      <c r="D2" s="219"/>
      <c r="E2" s="219"/>
      <c r="F2" s="219"/>
      <c r="G2" s="219"/>
      <c r="H2" s="220"/>
    </row>
    <row r="3" spans="2:8" ht="24" customHeight="1" thickTop="1">
      <c r="B3" s="25"/>
      <c r="C3" s="25"/>
      <c r="D3" s="25"/>
      <c r="E3" s="25"/>
      <c r="F3" s="25"/>
      <c r="G3" s="25"/>
      <c r="H3" s="25"/>
    </row>
    <row r="5" ht="24" customHeight="1">
      <c r="B5" s="22" t="s">
        <v>89</v>
      </c>
    </row>
    <row r="6" ht="17.25">
      <c r="B6" s="21" t="s">
        <v>219</v>
      </c>
    </row>
    <row r="7" ht="17.25">
      <c r="B7" s="21" t="s">
        <v>136</v>
      </c>
    </row>
    <row r="8" ht="17.25">
      <c r="B8" s="21" t="s">
        <v>92</v>
      </c>
    </row>
    <row r="9" ht="17.25">
      <c r="B9" s="21" t="str">
        <f>"　④消費性向は家計調査年報の"&amp;'入力SHEET'!P22&amp;"勤労者世帯の平均消費性向（平成"&amp;'入力SHEET'!L22&amp;"年）を使用する。"</f>
        <v>　④消費性向は家計調査年報の石川県勤労者世帯の平均消費性向（平成20年）を使用する。</v>
      </c>
    </row>
    <row r="12" spans="2:8" ht="24" customHeight="1" thickBot="1">
      <c r="B12" s="22" t="s">
        <v>88</v>
      </c>
      <c r="C12" s="36"/>
      <c r="D12" s="36"/>
      <c r="E12" s="36"/>
      <c r="F12" s="36"/>
      <c r="G12" s="36"/>
      <c r="H12" s="141" t="str">
        <f>"（単位："&amp;'入力SHEET'!L15&amp;"）"</f>
        <v>（単位：億円）</v>
      </c>
    </row>
    <row r="13" spans="2:8" s="23" customFormat="1" ht="42" customHeight="1" thickBot="1">
      <c r="B13" s="42" t="s">
        <v>91</v>
      </c>
      <c r="C13" s="221" t="s">
        <v>81</v>
      </c>
      <c r="D13" s="221"/>
      <c r="E13" s="221" t="s">
        <v>82</v>
      </c>
      <c r="F13" s="221"/>
      <c r="G13" s="221" t="s">
        <v>83</v>
      </c>
      <c r="H13" s="221"/>
    </row>
    <row r="14" spans="2:8" ht="42" customHeight="1">
      <c r="B14" s="39" t="s">
        <v>86</v>
      </c>
      <c r="C14" s="142">
        <f>'入力SHEET'!L12</f>
        <v>100</v>
      </c>
      <c r="D14" s="40"/>
      <c r="E14" s="142">
        <f>'分析過程'!C9</f>
        <v>61.71499251438769</v>
      </c>
      <c r="F14" s="40"/>
      <c r="G14" s="142">
        <f>'分析過程'!C13</f>
        <v>11.06695814812567</v>
      </c>
      <c r="H14" s="41"/>
    </row>
    <row r="15" spans="2:8" ht="42" customHeight="1">
      <c r="B15" s="37" t="s">
        <v>85</v>
      </c>
      <c r="C15" s="143">
        <f>'分析過程'!L24</f>
        <v>20.414833238728487</v>
      </c>
      <c r="D15" s="24"/>
      <c r="E15" s="143">
        <f>'分析過程'!S24</f>
        <v>12.575453786317844</v>
      </c>
      <c r="F15" s="24"/>
      <c r="G15" s="143">
        <f>'分析過程'!Z24</f>
        <v>2.9401051095629085</v>
      </c>
      <c r="H15" s="38"/>
    </row>
    <row r="16" spans="2:8" ht="39.75" customHeight="1" thickBot="1">
      <c r="B16" s="43" t="s">
        <v>84</v>
      </c>
      <c r="C16" s="144">
        <f>'分析過程'!Z68</f>
        <v>8.029382694270298</v>
      </c>
      <c r="D16" s="44"/>
      <c r="E16" s="144">
        <f>'分析過程'!AG68</f>
        <v>5.378783570211392</v>
      </c>
      <c r="F16" s="44"/>
      <c r="G16" s="144">
        <f>'分析過程'!AN68</f>
        <v>2.4097928351800317</v>
      </c>
      <c r="H16" s="45"/>
    </row>
    <row r="17" spans="2:8" ht="42" customHeight="1" thickBot="1">
      <c r="B17" s="42" t="s">
        <v>87</v>
      </c>
      <c r="C17" s="145">
        <f>SUM(C14:C16)</f>
        <v>128.4442159329988</v>
      </c>
      <c r="D17" s="46"/>
      <c r="E17" s="146">
        <f>SUM(E14:E16)</f>
        <v>79.66922987091692</v>
      </c>
      <c r="F17" s="46"/>
      <c r="G17" s="146">
        <f>SUM(G14:G16)</f>
        <v>16.41685609286861</v>
      </c>
      <c r="H17" s="46"/>
    </row>
  </sheetData>
  <sheetProtection/>
  <mergeCells count="4">
    <mergeCell ref="B2:H2"/>
    <mergeCell ref="C13:D13"/>
    <mergeCell ref="E13:F13"/>
    <mergeCell ref="G13:H13"/>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headerFooter alignWithMargins="0">
    <oddHeader>&amp;LFILE=&amp;F,SHEET=&amp;A</oddHeader>
  </headerFooter>
</worksheet>
</file>

<file path=xl/worksheets/sheet4.xml><?xml version="1.0" encoding="utf-8"?>
<worksheet xmlns="http://schemas.openxmlformats.org/spreadsheetml/2006/main" xmlns:r="http://schemas.openxmlformats.org/officeDocument/2006/relationships">
  <dimension ref="A1:AS103"/>
  <sheetViews>
    <sheetView showGridLines="0" zoomScale="85" zoomScaleNormal="85" zoomScaleSheetLayoutView="25" zoomScalePageLayoutView="0" workbookViewId="0" topLeftCell="A1">
      <selection activeCell="B2" sqref="B2"/>
    </sheetView>
  </sheetViews>
  <sheetFormatPr defaultColWidth="8.796875" defaultRowHeight="18" customHeight="1"/>
  <cols>
    <col min="1" max="1" width="2.59765625" style="9" customWidth="1"/>
    <col min="2" max="2" width="2.59765625" style="16" customWidth="1"/>
    <col min="3" max="3" width="11.59765625" style="9" customWidth="1"/>
    <col min="4" max="4" width="2.59765625" style="16" customWidth="1"/>
    <col min="5" max="5" width="10.59765625" style="9" customWidth="1"/>
    <col min="6" max="6" width="2.59765625" style="16" customWidth="1"/>
    <col min="7" max="7" width="10.59765625" style="9" customWidth="1"/>
    <col min="8" max="8" width="2.09765625" style="16" customWidth="1"/>
    <col min="9" max="9" width="11.19921875" style="9" customWidth="1"/>
    <col min="10" max="10" width="6.09765625" style="9" customWidth="1"/>
    <col min="11" max="11" width="2.8984375" style="16" customWidth="1"/>
    <col min="12" max="12" width="10.59765625" style="9" customWidth="1"/>
    <col min="13" max="13" width="2.09765625" style="16" customWidth="1"/>
    <col min="14" max="14" width="10.59765625" style="9" customWidth="1"/>
    <col min="15" max="15" width="2.09765625" style="16" customWidth="1"/>
    <col min="16" max="16" width="11.69921875" style="9" customWidth="1"/>
    <col min="17" max="17" width="5.59765625" style="9" customWidth="1"/>
    <col min="18" max="18" width="2.59765625" style="16" customWidth="1"/>
    <col min="19" max="19" width="11.3984375" style="9" customWidth="1"/>
    <col min="20" max="20" width="2.09765625" style="9" customWidth="1"/>
    <col min="21" max="21" width="10.59765625" style="9" customWidth="1"/>
    <col min="22" max="22" width="2.09765625" style="16" customWidth="1"/>
    <col min="23" max="23" width="11.5" style="9" customWidth="1"/>
    <col min="24" max="24" width="8.59765625" style="9" customWidth="1"/>
    <col min="25" max="25" width="2.59765625" style="16" customWidth="1"/>
    <col min="26" max="26" width="10.59765625" style="9" customWidth="1"/>
    <col min="27" max="27" width="2.09765625" style="16" customWidth="1"/>
    <col min="28" max="28" width="11.19921875" style="9" customWidth="1"/>
    <col min="29" max="29" width="2.09765625" style="16" customWidth="1"/>
    <col min="30" max="30" width="11.59765625" style="9" customWidth="1"/>
    <col min="31" max="31" width="9.59765625" style="9" customWidth="1"/>
    <col min="32" max="32" width="3.19921875" style="9" customWidth="1"/>
    <col min="33" max="33" width="11.59765625" style="9" customWidth="1"/>
    <col min="34" max="34" width="2.09765625" style="9" customWidth="1"/>
    <col min="35" max="35" width="10.59765625" style="9" customWidth="1"/>
    <col min="36" max="36" width="2.09765625" style="9" customWidth="1"/>
    <col min="37" max="37" width="11.59765625" style="9" customWidth="1"/>
    <col min="38" max="38" width="9.59765625" style="9" customWidth="1"/>
    <col min="39" max="39" width="2.5" style="9" customWidth="1"/>
    <col min="40" max="40" width="10.59765625" style="9" customWidth="1"/>
    <col min="41" max="41" width="2.09765625" style="9" customWidth="1"/>
    <col min="42" max="42" width="10.59765625" style="9" customWidth="1"/>
    <col min="43" max="43" width="2.09765625" style="9" customWidth="1"/>
    <col min="44" max="44" width="11.09765625" style="9" customWidth="1"/>
    <col min="45" max="16384" width="9" style="9" customWidth="1"/>
  </cols>
  <sheetData>
    <row r="1" spans="1:7" ht="18" customHeight="1">
      <c r="A1" s="47" t="s">
        <v>72</v>
      </c>
      <c r="B1" s="18"/>
      <c r="C1" s="15"/>
      <c r="D1" s="18"/>
      <c r="E1" s="15"/>
      <c r="F1" s="18"/>
      <c r="G1" s="15"/>
    </row>
    <row r="2" spans="10:18" ht="18" customHeight="1">
      <c r="J2" s="222" t="s">
        <v>90</v>
      </c>
      <c r="K2" s="223"/>
      <c r="L2" s="223"/>
      <c r="M2" s="223"/>
      <c r="N2" s="223"/>
      <c r="O2" s="223"/>
      <c r="P2" s="223"/>
      <c r="Q2" s="223"/>
      <c r="R2" s="223"/>
    </row>
    <row r="3" spans="2:18" ht="30" customHeight="1">
      <c r="B3" s="18" t="s">
        <v>45</v>
      </c>
      <c r="C3" s="15" t="s">
        <v>157</v>
      </c>
      <c r="D3" s="16" t="s">
        <v>69</v>
      </c>
      <c r="E3" s="16" t="s">
        <v>160</v>
      </c>
      <c r="F3" s="16" t="s">
        <v>70</v>
      </c>
      <c r="G3" s="48" t="s">
        <v>159</v>
      </c>
      <c r="J3" s="223"/>
      <c r="K3" s="223"/>
      <c r="L3" s="223"/>
      <c r="M3" s="223"/>
      <c r="N3" s="223"/>
      <c r="O3" s="223"/>
      <c r="P3" s="223"/>
      <c r="Q3" s="223"/>
      <c r="R3" s="223"/>
    </row>
    <row r="4" spans="10:18" ht="9" customHeight="1" thickBot="1">
      <c r="J4" s="223"/>
      <c r="K4" s="223"/>
      <c r="L4" s="223"/>
      <c r="M4" s="223"/>
      <c r="N4" s="223"/>
      <c r="O4" s="223"/>
      <c r="P4" s="223"/>
      <c r="Q4" s="223"/>
      <c r="R4" s="223"/>
    </row>
    <row r="5" spans="3:16" ht="18" customHeight="1" thickBot="1">
      <c r="C5" s="114">
        <f>E5*G5</f>
        <v>38.28500748561231</v>
      </c>
      <c r="D5" s="16" t="s">
        <v>158</v>
      </c>
      <c r="E5" s="115">
        <f>'入力SHEET'!$L$12</f>
        <v>100</v>
      </c>
      <c r="F5" s="18" t="s">
        <v>70</v>
      </c>
      <c r="G5" s="116">
        <f>VLOOKUP('入力SHEET'!$L$6,'直波・民消'!$A$2:$H$34,3)</f>
        <v>0.3828500748561231</v>
      </c>
      <c r="J5" s="35"/>
      <c r="K5" s="35"/>
      <c r="L5" s="35"/>
      <c r="M5" s="35"/>
      <c r="N5" s="35"/>
      <c r="O5" s="35"/>
      <c r="P5" s="35"/>
    </row>
    <row r="6" spans="5:13" ht="18" customHeight="1">
      <c r="E6" s="17"/>
      <c r="J6" s="49"/>
      <c r="K6" s="49"/>
      <c r="L6" s="49"/>
      <c r="M6" s="49"/>
    </row>
    <row r="7" spans="2:13" ht="30" customHeight="1">
      <c r="B7" s="18" t="s">
        <v>46</v>
      </c>
      <c r="C7" s="15" t="s">
        <v>161</v>
      </c>
      <c r="D7" s="16" t="s">
        <v>69</v>
      </c>
      <c r="E7" s="16" t="s">
        <v>160</v>
      </c>
      <c r="F7" s="16" t="s">
        <v>70</v>
      </c>
      <c r="G7" s="48" t="s">
        <v>163</v>
      </c>
      <c r="J7" s="49"/>
      <c r="K7" s="49"/>
      <c r="L7" s="49"/>
      <c r="M7" s="49"/>
    </row>
    <row r="8" spans="10:13" ht="9" customHeight="1" thickBot="1">
      <c r="J8" s="49"/>
      <c r="K8" s="49"/>
      <c r="L8" s="49"/>
      <c r="M8" s="49"/>
    </row>
    <row r="9" spans="3:13" ht="18" customHeight="1" thickBot="1">
      <c r="C9" s="114">
        <f>E9*G9</f>
        <v>61.71499251438769</v>
      </c>
      <c r="D9" s="16" t="s">
        <v>158</v>
      </c>
      <c r="E9" s="115">
        <f>'入力SHEET'!$L$12</f>
        <v>100</v>
      </c>
      <c r="F9" s="18" t="s">
        <v>70</v>
      </c>
      <c r="G9" s="116">
        <f>VLOOKUP('入力SHEET'!$L$6,'直波・民消'!$A$2:$H$34,4)</f>
        <v>0.6171499251438769</v>
      </c>
      <c r="J9" s="49"/>
      <c r="K9" s="49"/>
      <c r="L9" s="49"/>
      <c r="M9" s="49"/>
    </row>
    <row r="10" spans="5:13" ht="18" customHeight="1">
      <c r="E10" s="17"/>
      <c r="J10" s="49"/>
      <c r="K10" s="49"/>
      <c r="L10" s="49"/>
      <c r="M10" s="49"/>
    </row>
    <row r="11" spans="2:13" ht="29.25" customHeight="1">
      <c r="B11" s="18" t="s">
        <v>47</v>
      </c>
      <c r="C11" s="15" t="s">
        <v>162</v>
      </c>
      <c r="D11" s="16" t="s">
        <v>69</v>
      </c>
      <c r="E11" s="16" t="s">
        <v>160</v>
      </c>
      <c r="F11" s="16" t="s">
        <v>70</v>
      </c>
      <c r="G11" s="48" t="s">
        <v>164</v>
      </c>
      <c r="J11" s="49"/>
      <c r="K11" s="49"/>
      <c r="L11" s="49"/>
      <c r="M11" s="49"/>
    </row>
    <row r="12" ht="9" customHeight="1" thickBot="1"/>
    <row r="13" spans="3:7" ht="18" customHeight="1" thickBot="1">
      <c r="C13" s="114">
        <f>E13*G13</f>
        <v>11.06695814812567</v>
      </c>
      <c r="D13" s="16" t="s">
        <v>158</v>
      </c>
      <c r="E13" s="115">
        <f>'入力SHEET'!$L$12</f>
        <v>100</v>
      </c>
      <c r="F13" s="18" t="s">
        <v>70</v>
      </c>
      <c r="G13" s="116">
        <f>VLOOKUP('入力SHEET'!$L$6,'直波・民消'!$A$2:$H$34,5)</f>
        <v>0.1106695814812567</v>
      </c>
    </row>
    <row r="14" spans="3:7" ht="18" customHeight="1">
      <c r="C14" s="54"/>
      <c r="E14" s="19"/>
      <c r="F14" s="18"/>
      <c r="G14" s="55"/>
    </row>
    <row r="15" spans="3:7" ht="18" customHeight="1">
      <c r="C15" s="54"/>
      <c r="E15" s="19"/>
      <c r="F15" s="18"/>
      <c r="G15" s="55"/>
    </row>
    <row r="16" spans="1:31" ht="18" customHeight="1">
      <c r="A16" s="14"/>
      <c r="B16" s="20"/>
      <c r="C16" s="14"/>
      <c r="D16" s="20"/>
      <c r="E16" s="14"/>
      <c r="F16" s="20"/>
      <c r="G16" s="14"/>
      <c r="H16" s="20"/>
      <c r="I16" s="14"/>
      <c r="J16" s="14"/>
      <c r="K16" s="20"/>
      <c r="L16" s="14"/>
      <c r="M16" s="20"/>
      <c r="N16" s="14"/>
      <c r="O16" s="20"/>
      <c r="P16" s="14"/>
      <c r="Q16" s="14"/>
      <c r="R16" s="20"/>
      <c r="S16" s="14"/>
      <c r="T16" s="14"/>
      <c r="U16" s="14"/>
      <c r="V16" s="20"/>
      <c r="W16" s="14"/>
      <c r="X16" s="14"/>
      <c r="Y16" s="20"/>
      <c r="Z16" s="14"/>
      <c r="AA16" s="20"/>
      <c r="AB16" s="14"/>
      <c r="AC16" s="20"/>
      <c r="AD16" s="14"/>
      <c r="AE16" s="14"/>
    </row>
    <row r="17" spans="1:31" ht="18" customHeight="1">
      <c r="A17" s="34"/>
      <c r="B17" s="19"/>
      <c r="C17" s="34"/>
      <c r="D17" s="19"/>
      <c r="E17" s="34"/>
      <c r="F17" s="19"/>
      <c r="G17" s="34"/>
      <c r="H17" s="19"/>
      <c r="I17" s="34"/>
      <c r="J17" s="34"/>
      <c r="K17" s="19"/>
      <c r="L17" s="34"/>
      <c r="M17" s="19"/>
      <c r="N17" s="34"/>
      <c r="O17" s="19"/>
      <c r="P17" s="34"/>
      <c r="Q17" s="34"/>
      <c r="R17" s="19"/>
      <c r="S17" s="34"/>
      <c r="T17" s="34"/>
      <c r="U17" s="34"/>
      <c r="V17" s="19"/>
      <c r="W17" s="34"/>
      <c r="X17" s="34"/>
      <c r="Y17" s="19"/>
      <c r="Z17" s="34"/>
      <c r="AA17" s="19"/>
      <c r="AB17" s="34"/>
      <c r="AC17" s="19"/>
      <c r="AD17" s="34"/>
      <c r="AE17" s="34"/>
    </row>
    <row r="18" spans="1:31" ht="18" customHeight="1">
      <c r="A18" s="34"/>
      <c r="B18" s="19"/>
      <c r="C18" s="34"/>
      <c r="D18" s="19"/>
      <c r="E18" s="34"/>
      <c r="F18" s="19"/>
      <c r="G18" s="34"/>
      <c r="H18" s="19"/>
      <c r="I18" s="34"/>
      <c r="J18" s="34"/>
      <c r="K18" s="19"/>
      <c r="L18" s="34"/>
      <c r="M18" s="19"/>
      <c r="N18" s="34"/>
      <c r="O18" s="19"/>
      <c r="P18" s="34"/>
      <c r="Q18" s="34"/>
      <c r="R18" s="19"/>
      <c r="S18" s="34"/>
      <c r="T18" s="34"/>
      <c r="U18" s="34"/>
      <c r="V18" s="19"/>
      <c r="W18" s="34"/>
      <c r="X18" s="34"/>
      <c r="Y18" s="19"/>
      <c r="Z18" s="34"/>
      <c r="AA18" s="19"/>
      <c r="AB18" s="34"/>
      <c r="AC18" s="19"/>
      <c r="AD18" s="34"/>
      <c r="AE18" s="34"/>
    </row>
    <row r="20" spans="1:29" s="15" customFormat="1" ht="18" customHeight="1">
      <c r="A20" s="47" t="s">
        <v>76</v>
      </c>
      <c r="B20" s="18"/>
      <c r="D20" s="18"/>
      <c r="F20" s="18"/>
      <c r="H20" s="18"/>
      <c r="K20" s="18"/>
      <c r="M20" s="18"/>
      <c r="O20" s="18"/>
      <c r="R20" s="18"/>
      <c r="V20" s="18"/>
      <c r="Y20" s="18"/>
      <c r="AA20" s="18"/>
      <c r="AC20" s="18"/>
    </row>
    <row r="22" spans="2:30" ht="30" customHeight="1">
      <c r="B22" s="18" t="s">
        <v>169</v>
      </c>
      <c r="C22" s="53" t="s">
        <v>170</v>
      </c>
      <c r="D22" s="16" t="s">
        <v>69</v>
      </c>
      <c r="E22" s="16" t="s">
        <v>167</v>
      </c>
      <c r="F22" s="16" t="s">
        <v>77</v>
      </c>
      <c r="G22" s="9" t="s">
        <v>166</v>
      </c>
      <c r="H22" s="16" t="s">
        <v>77</v>
      </c>
      <c r="I22" s="48" t="s">
        <v>165</v>
      </c>
      <c r="K22" s="18" t="s">
        <v>46</v>
      </c>
      <c r="L22" s="15" t="s">
        <v>172</v>
      </c>
      <c r="M22" s="16" t="s">
        <v>69</v>
      </c>
      <c r="N22" s="35" t="s">
        <v>193</v>
      </c>
      <c r="O22" s="16" t="s">
        <v>77</v>
      </c>
      <c r="P22" s="35" t="s">
        <v>173</v>
      </c>
      <c r="R22" s="18" t="s">
        <v>47</v>
      </c>
      <c r="S22" s="52" t="s">
        <v>174</v>
      </c>
      <c r="T22" s="16" t="s">
        <v>69</v>
      </c>
      <c r="U22" s="9" t="s">
        <v>171</v>
      </c>
      <c r="V22" s="9" t="s">
        <v>77</v>
      </c>
      <c r="W22" s="48" t="s">
        <v>163</v>
      </c>
      <c r="Y22" s="18" t="s">
        <v>48</v>
      </c>
      <c r="Z22" s="53" t="s">
        <v>175</v>
      </c>
      <c r="AA22" s="16" t="s">
        <v>69</v>
      </c>
      <c r="AB22" s="9" t="s">
        <v>171</v>
      </c>
      <c r="AC22" s="9" t="s">
        <v>77</v>
      </c>
      <c r="AD22" s="48" t="s">
        <v>164</v>
      </c>
    </row>
    <row r="23" spans="14:20" ht="9" customHeight="1" thickBot="1">
      <c r="N23" s="17"/>
      <c r="T23" s="16"/>
    </row>
    <row r="24" spans="3:31" ht="18" customHeight="1" thickBot="1">
      <c r="C24" s="117">
        <f>SUM(C26:C57)</f>
        <v>16.78861528143671</v>
      </c>
      <c r="D24" s="16" t="s">
        <v>158</v>
      </c>
      <c r="E24" s="115">
        <f>'入力SHEET'!$L$12</f>
        <v>100</v>
      </c>
      <c r="F24" s="18" t="s">
        <v>168</v>
      </c>
      <c r="G24" s="50"/>
      <c r="H24" s="18" t="s">
        <v>168</v>
      </c>
      <c r="I24" s="19"/>
      <c r="L24" s="117">
        <f>SUM(L26:L57)</f>
        <v>20.414833238728487</v>
      </c>
      <c r="M24" s="16" t="s">
        <v>158</v>
      </c>
      <c r="O24" s="18" t="s">
        <v>168</v>
      </c>
      <c r="P24" s="118">
        <f>C24</f>
        <v>16.78861528143671</v>
      </c>
      <c r="S24" s="117">
        <f>SUM(S26:S57)</f>
        <v>12.575453786317844</v>
      </c>
      <c r="T24" s="16" t="s">
        <v>158</v>
      </c>
      <c r="V24" s="15" t="s">
        <v>168</v>
      </c>
      <c r="Z24" s="117">
        <f>SUM(Z26:Z57)</f>
        <v>2.9401051095629085</v>
      </c>
      <c r="AA24" s="16" t="s">
        <v>158</v>
      </c>
      <c r="AC24" s="15" t="s">
        <v>77</v>
      </c>
      <c r="AE24" s="17"/>
    </row>
    <row r="25" spans="3:31" ht="18" customHeight="1" thickBot="1">
      <c r="C25" s="51"/>
      <c r="E25" s="19"/>
      <c r="G25" s="50"/>
      <c r="I25" s="19"/>
      <c r="L25" s="51"/>
      <c r="P25" s="63"/>
      <c r="S25" s="51"/>
      <c r="T25" s="16"/>
      <c r="V25" s="9"/>
      <c r="Z25" s="51"/>
      <c r="AC25" s="9"/>
      <c r="AE25" s="17"/>
    </row>
    <row r="26" spans="3:30" ht="18" customHeight="1">
      <c r="C26" s="119">
        <f aca="true" t="shared" si="0" ref="C26:C57">$E$24*G26*I26</f>
        <v>2.6707400932817933</v>
      </c>
      <c r="G26" s="122">
        <f>HLOOKUP('入力SHEET'!$L$6,'投入係数表'!$A$1:$AI34,ROW()-23)</f>
        <v>0.06839882354333218</v>
      </c>
      <c r="I26" s="122">
        <f>'直波・民消'!F3</f>
        <v>0.39046579384363533</v>
      </c>
      <c r="L26" s="120">
        <f aca="true" t="shared" si="1" ref="L26:L57">$P$24*N26</f>
        <v>17.269453402330438</v>
      </c>
      <c r="N26" s="122">
        <f>HLOOKUP('入力SHEET'!$L$6,'逆行列係数表'!$A$1:$AH$34,ROW()-23)</f>
        <v>1.028640725445975</v>
      </c>
      <c r="P26" s="60"/>
      <c r="S26" s="125">
        <f aca="true" t="shared" si="2" ref="S26:S57">U26*W26</f>
        <v>10.6578418745239</v>
      </c>
      <c r="T26" s="16"/>
      <c r="U26" s="128">
        <f aca="true" t="shared" si="3" ref="U26:U57">L26</f>
        <v>17.269453402330438</v>
      </c>
      <c r="V26" s="9"/>
      <c r="W26" s="122">
        <f>'直波・民消'!D3</f>
        <v>0.6171499251438769</v>
      </c>
      <c r="Z26" s="125">
        <f aca="true" t="shared" si="4" ref="Z26:Z57">AB26*AD26</f>
        <v>1.9112031804459741</v>
      </c>
      <c r="AB26" s="128">
        <f aca="true" t="shared" si="5" ref="AB26:AB57">L26</f>
        <v>17.269453402330438</v>
      </c>
      <c r="AC26" s="9"/>
      <c r="AD26" s="122">
        <f>'直波・民消'!E3</f>
        <v>0.1106695814812567</v>
      </c>
    </row>
    <row r="27" spans="3:30" ht="18" customHeight="1">
      <c r="C27" s="120">
        <f t="shared" si="0"/>
        <v>0.0005833995769436369</v>
      </c>
      <c r="G27" s="123">
        <f>HLOOKUP('入力SHEET'!$L$6,'投入係数表'!$A$1:$AI35,ROW()-23)</f>
        <v>1.7452859460597013E-05</v>
      </c>
      <c r="I27" s="123">
        <f>'直波・民消'!F4</f>
        <v>0.33427162939160027</v>
      </c>
      <c r="L27" s="120">
        <f t="shared" si="1"/>
        <v>0.0032899287984031462</v>
      </c>
      <c r="N27" s="123">
        <f>HLOOKUP('入力SHEET'!$L$6,'逆行列係数表'!$A$1:$AH$34,ROW()-23)</f>
        <v>0.00019596189103462535</v>
      </c>
      <c r="P27"/>
      <c r="S27" s="126">
        <f t="shared" si="2"/>
        <v>0.001406099718541343</v>
      </c>
      <c r="T27" s="16"/>
      <c r="U27" s="129">
        <f t="shared" si="3"/>
        <v>0.0032899287984031462</v>
      </c>
      <c r="V27" s="9"/>
      <c r="W27" s="123">
        <f>'直波・民消'!D4</f>
        <v>0.4273951822981186</v>
      </c>
      <c r="Z27" s="126">
        <f t="shared" si="4"/>
        <v>0.0005209873020829735</v>
      </c>
      <c r="AB27" s="129">
        <f t="shared" si="5"/>
        <v>0.0032899287984031462</v>
      </c>
      <c r="AC27" s="9"/>
      <c r="AD27" s="123">
        <f>'直波・民消'!E4</f>
        <v>0.15835823022548343</v>
      </c>
    </row>
    <row r="28" spans="3:30" ht="18" customHeight="1">
      <c r="C28" s="120">
        <f t="shared" si="0"/>
        <v>1.9111675325204167</v>
      </c>
      <c r="G28" s="123">
        <f>HLOOKUP('入力SHEET'!$L$6,'投入係数表'!$A$1:$AI36,ROW()-23)</f>
        <v>0.053200264461388924</v>
      </c>
      <c r="I28" s="123">
        <f>'直波・民消'!F5</f>
        <v>0.3592402315795783</v>
      </c>
      <c r="L28" s="120">
        <f t="shared" si="1"/>
        <v>0.33987189385888533</v>
      </c>
      <c r="N28" s="123">
        <f>HLOOKUP('入力SHEET'!$L$6,'逆行列係数表'!$A$1:$AH$34,ROW()-23)</f>
        <v>0.020244188586219146</v>
      </c>
      <c r="P28"/>
      <c r="S28" s="126">
        <f t="shared" si="2"/>
        <v>0.21006131029426656</v>
      </c>
      <c r="T28" s="16"/>
      <c r="U28" s="129">
        <f t="shared" si="3"/>
        <v>0.33987189385888533</v>
      </c>
      <c r="V28" s="9"/>
      <c r="W28" s="123">
        <f>'直波・民消'!D5</f>
        <v>0.6180602576730982</v>
      </c>
      <c r="Z28" s="126">
        <f t="shared" si="4"/>
        <v>0.04226453857210371</v>
      </c>
      <c r="AB28" s="129">
        <f t="shared" si="5"/>
        <v>0.33987189385888533</v>
      </c>
      <c r="AC28" s="9"/>
      <c r="AD28" s="123">
        <f>'直波・民消'!E5</f>
        <v>0.12435432095380011</v>
      </c>
    </row>
    <row r="29" spans="3:30" ht="18" customHeight="1">
      <c r="C29" s="120">
        <f t="shared" si="0"/>
        <v>0.1758449506926082</v>
      </c>
      <c r="G29" s="123">
        <f>HLOOKUP('入力SHEET'!$L$6,'投入係数表'!$A$1:$AI37,ROW()-23)</f>
        <v>0.007161168851714177</v>
      </c>
      <c r="I29" s="123">
        <f>'直波・民消'!F6</f>
        <v>0.24555342058512697</v>
      </c>
      <c r="L29" s="120">
        <f t="shared" si="1"/>
        <v>0.03318428409673257</v>
      </c>
      <c r="N29" s="123">
        <f>HLOOKUP('入力SHEET'!$L$6,'逆行列係数表'!$A$1:$AH$34,ROW()-23)</f>
        <v>0.0019765944683612273</v>
      </c>
      <c r="P29"/>
      <c r="S29" s="126">
        <f t="shared" si="2"/>
        <v>0.012850982023017732</v>
      </c>
      <c r="T29" s="16"/>
      <c r="U29" s="129">
        <f t="shared" si="3"/>
        <v>0.03318428409673257</v>
      </c>
      <c r="V29" s="9"/>
      <c r="W29" s="123">
        <f>'直波・民消'!D6</f>
        <v>0.3872610897844586</v>
      </c>
      <c r="Z29" s="126">
        <f t="shared" si="4"/>
        <v>0.010391091469606803</v>
      </c>
      <c r="AB29" s="129">
        <f t="shared" si="5"/>
        <v>0.03318428409673257</v>
      </c>
      <c r="AC29" s="9"/>
      <c r="AD29" s="123">
        <f>'直波・民消'!E6</f>
        <v>0.3131329107271578</v>
      </c>
    </row>
    <row r="30" spans="3:30" ht="18" customHeight="1">
      <c r="C30" s="120">
        <f t="shared" si="0"/>
        <v>0.4072614899403725</v>
      </c>
      <c r="G30" s="123">
        <f>HLOOKUP('入力SHEET'!$L$6,'投入係数表'!$A$1:$AI38,ROW()-23)</f>
        <v>0.012689760102101905</v>
      </c>
      <c r="I30" s="123">
        <f>'直波・民消'!F7</f>
        <v>0.3209371072924496</v>
      </c>
      <c r="L30" s="120">
        <f t="shared" si="1"/>
        <v>0.08601993537546711</v>
      </c>
      <c r="N30" s="123">
        <f>HLOOKUP('入力SHEET'!$L$6,'逆行列係数表'!$A$1:$AH$34,ROW()-23)</f>
        <v>0.005123706388732367</v>
      </c>
      <c r="P30"/>
      <c r="S30" s="126">
        <f t="shared" si="2"/>
        <v>0.033138816953494125</v>
      </c>
      <c r="T30" s="16"/>
      <c r="U30" s="129">
        <f t="shared" si="3"/>
        <v>0.08601993537546711</v>
      </c>
      <c r="V30" s="9"/>
      <c r="W30" s="123">
        <f>'直波・民消'!D7</f>
        <v>0.38524577830530804</v>
      </c>
      <c r="Z30" s="126">
        <f t="shared" si="4"/>
        <v>0.022367804130204377</v>
      </c>
      <c r="AB30" s="129">
        <f t="shared" si="5"/>
        <v>0.08601993537546711</v>
      </c>
      <c r="AC30" s="9"/>
      <c r="AD30" s="123">
        <f>'直波・民消'!E7</f>
        <v>0.2600304688973723</v>
      </c>
    </row>
    <row r="31" spans="3:30" ht="18" customHeight="1">
      <c r="C31" s="120">
        <f t="shared" si="0"/>
        <v>0.4903064199726776</v>
      </c>
      <c r="G31" s="123">
        <f>HLOOKUP('入力SHEET'!$L$6,'投入係数表'!$A$1:$AI39,ROW()-23)</f>
        <v>0.04317127991728352</v>
      </c>
      <c r="I31" s="123">
        <f>'直波・民消'!F8</f>
        <v>0.11357236128095072</v>
      </c>
      <c r="L31" s="120">
        <f t="shared" si="1"/>
        <v>0.09028136032920253</v>
      </c>
      <c r="N31" s="123">
        <f>HLOOKUP('入力SHEET'!$L$6,'逆行列係数表'!$A$1:$AH$34,ROW()-23)</f>
        <v>0.005377534645696913</v>
      </c>
      <c r="P31"/>
      <c r="S31" s="126">
        <f t="shared" si="2"/>
        <v>0.025759837670004223</v>
      </c>
      <c r="T31" s="16"/>
      <c r="U31" s="129">
        <f t="shared" si="3"/>
        <v>0.09028136032920253</v>
      </c>
      <c r="V31" s="9"/>
      <c r="W31" s="123">
        <f>'直波・民消'!D8</f>
        <v>0.2853284174725922</v>
      </c>
      <c r="Z31" s="126">
        <f t="shared" si="4"/>
        <v>0.009178775563710198</v>
      </c>
      <c r="AB31" s="129">
        <f t="shared" si="5"/>
        <v>0.09028136032920253</v>
      </c>
      <c r="AC31" s="9"/>
      <c r="AD31" s="123">
        <f>'直波・民消'!E8</f>
        <v>0.10166855628050632</v>
      </c>
    </row>
    <row r="32" spans="3:30" ht="18" customHeight="1">
      <c r="C32" s="120">
        <f t="shared" si="0"/>
        <v>0.1350657074661137</v>
      </c>
      <c r="G32" s="123">
        <f>HLOOKUP('入力SHEET'!$L$6,'投入係数表'!$A$1:$AI40,ROW()-23)</f>
        <v>0.02717987410440536</v>
      </c>
      <c r="I32" s="123">
        <f>'直波・民消'!F9</f>
        <v>0.04969327927984113</v>
      </c>
      <c r="L32" s="120">
        <f t="shared" si="1"/>
        <v>0.025257662192594222</v>
      </c>
      <c r="N32" s="123">
        <f>HLOOKUP('入力SHEET'!$L$6,'逆行列係数表'!$A$1:$AH$34,ROW()-23)</f>
        <v>0.0015044517829008684</v>
      </c>
      <c r="P32"/>
      <c r="S32" s="126">
        <f t="shared" si="2"/>
        <v>0.008225544929027242</v>
      </c>
      <c r="T32" s="16"/>
      <c r="U32" s="129">
        <f t="shared" si="3"/>
        <v>0.025257662192594222</v>
      </c>
      <c r="V32" s="9"/>
      <c r="W32" s="123">
        <f>'直波・民消'!D9</f>
        <v>0.3256653314271915</v>
      </c>
      <c r="Z32" s="126">
        <f t="shared" si="4"/>
        <v>0.004020189916922968</v>
      </c>
      <c r="AB32" s="129">
        <f t="shared" si="5"/>
        <v>0.025257662192594222</v>
      </c>
      <c r="AC32" s="9"/>
      <c r="AD32" s="123">
        <f>'直波・民消'!E9</f>
        <v>0.1591671424801035</v>
      </c>
    </row>
    <row r="33" spans="3:30" ht="18" customHeight="1">
      <c r="C33" s="120">
        <f t="shared" si="0"/>
        <v>0.047946278379022565</v>
      </c>
      <c r="G33" s="123">
        <f>HLOOKUP('入力SHEET'!$L$6,'投入係数表'!$A$1:$AI41,ROW()-23)</f>
        <v>0.001143837583013529</v>
      </c>
      <c r="I33" s="123">
        <f>'直波・民消'!F10</f>
        <v>0.41917033581554797</v>
      </c>
      <c r="L33" s="120">
        <f t="shared" si="1"/>
        <v>0.013289698418680797</v>
      </c>
      <c r="N33" s="123">
        <f>HLOOKUP('入力SHEET'!$L$6,'逆行列係数表'!$A$1:$AH$34,ROW()-23)</f>
        <v>0.0007915899075592799</v>
      </c>
      <c r="P33"/>
      <c r="S33" s="126">
        <f t="shared" si="2"/>
        <v>0.0058316708256563295</v>
      </c>
      <c r="T33" s="16"/>
      <c r="U33" s="129">
        <f t="shared" si="3"/>
        <v>0.013289698418680797</v>
      </c>
      <c r="V33" s="9"/>
      <c r="W33" s="123">
        <f>'直波・民消'!D10</f>
        <v>0.43881137418882155</v>
      </c>
      <c r="Z33" s="126">
        <f t="shared" si="4"/>
        <v>0.003975187998838836</v>
      </c>
      <c r="AB33" s="129">
        <f t="shared" si="5"/>
        <v>0.013289698418680797</v>
      </c>
      <c r="AC33" s="9"/>
      <c r="AD33" s="123">
        <f>'直波・民消'!E10</f>
        <v>0.29911799903984826</v>
      </c>
    </row>
    <row r="34" spans="3:30" ht="18" customHeight="1">
      <c r="C34" s="120">
        <f t="shared" si="0"/>
        <v>0.001678841181293465</v>
      </c>
      <c r="G34" s="123">
        <f>HLOOKUP('入力SHEET'!$L$6,'投入係数表'!$A$1:$AI42,ROW()-23)</f>
        <v>8.836828368274395E-05</v>
      </c>
      <c r="I34" s="123">
        <f>'直波・民消'!F11</f>
        <v>0.18998232299280238</v>
      </c>
      <c r="L34" s="120">
        <f t="shared" si="1"/>
        <v>0.002566752788574425</v>
      </c>
      <c r="N34" s="123">
        <f>HLOOKUP('入力SHEET'!$L$6,'逆行列係数表'!$A$1:$AH$34,ROW()-23)</f>
        <v>0.00015288650943193045</v>
      </c>
      <c r="P34"/>
      <c r="S34" s="126">
        <f t="shared" si="2"/>
        <v>0.0010844262761321413</v>
      </c>
      <c r="T34" s="16"/>
      <c r="U34" s="129">
        <f t="shared" si="3"/>
        <v>0.002566752788574425</v>
      </c>
      <c r="V34" s="9"/>
      <c r="W34" s="123">
        <f>'直波・民消'!D11</f>
        <v>0.4224895677368415</v>
      </c>
      <c r="Z34" s="126">
        <f t="shared" si="4"/>
        <v>0.0008163101350569286</v>
      </c>
      <c r="AB34" s="129">
        <f t="shared" si="5"/>
        <v>0.002566752788574425</v>
      </c>
      <c r="AC34" s="9"/>
      <c r="AD34" s="123">
        <f>'直波・民消'!E11</f>
        <v>0.3180322385118776</v>
      </c>
    </row>
    <row r="35" spans="3:30" ht="18" customHeight="1">
      <c r="C35" s="120">
        <f t="shared" si="0"/>
        <v>1.3219651467132942E-07</v>
      </c>
      <c r="G35" s="123">
        <f>HLOOKUP('入力SHEET'!$L$6,'投入係数表'!$A$1:$AI43,ROW()-23)</f>
        <v>1.5316006237385286E-08</v>
      </c>
      <c r="I35" s="123">
        <f>'直波・民消'!F12</f>
        <v>0.08631265397936905</v>
      </c>
      <c r="L35" s="120">
        <f t="shared" si="1"/>
        <v>0.0003773700527790241</v>
      </c>
      <c r="N35" s="123">
        <f>HLOOKUP('入力SHEET'!$L$6,'逆行列係数表'!$A$1:$AH$34,ROW()-23)</f>
        <v>2.247773544470251E-05</v>
      </c>
      <c r="P35"/>
      <c r="S35" s="126">
        <f t="shared" si="2"/>
        <v>0.00014119723267780508</v>
      </c>
      <c r="T35" s="16"/>
      <c r="U35" s="129">
        <f t="shared" si="3"/>
        <v>0.0003773700527790241</v>
      </c>
      <c r="V35" s="9"/>
      <c r="W35" s="123">
        <f>'直波・民消'!D12</f>
        <v>0.3741612023476746</v>
      </c>
      <c r="Z35" s="126">
        <f t="shared" si="4"/>
        <v>9.711584469785215E-05</v>
      </c>
      <c r="AB35" s="129">
        <f t="shared" si="5"/>
        <v>0.0003773700527790241</v>
      </c>
      <c r="AC35" s="9"/>
      <c r="AD35" s="123">
        <f>'直波・民消'!E12</f>
        <v>0.2573491033076758</v>
      </c>
    </row>
    <row r="36" spans="3:30" ht="18" customHeight="1">
      <c r="C36" s="120">
        <f t="shared" si="0"/>
        <v>0.029851566418469613</v>
      </c>
      <c r="G36" s="123">
        <f>HLOOKUP('入力SHEET'!$L$6,'投入係数表'!$A$1:$AI44,ROW()-23)</f>
        <v>0.0012985930836700366</v>
      </c>
      <c r="I36" s="123">
        <f>'直波・民消'!F13</f>
        <v>0.22987621598987884</v>
      </c>
      <c r="L36" s="120">
        <f t="shared" si="1"/>
        <v>0.009446314676749244</v>
      </c>
      <c r="N36" s="123">
        <f>HLOOKUP('入力SHEET'!$L$6,'逆行列係数表'!$A$1:$AH$34,ROW()-23)</f>
        <v>0.0005626619300279102</v>
      </c>
      <c r="P36"/>
      <c r="S36" s="126">
        <f t="shared" si="2"/>
        <v>0.004649425681467539</v>
      </c>
      <c r="T36" s="16"/>
      <c r="U36" s="129">
        <f t="shared" si="3"/>
        <v>0.009446314676749244</v>
      </c>
      <c r="V36" s="9"/>
      <c r="W36" s="123">
        <f>'直波・民消'!D13</f>
        <v>0.49219466432887704</v>
      </c>
      <c r="Z36" s="126">
        <f t="shared" si="4"/>
        <v>0.0034649905454894195</v>
      </c>
      <c r="AB36" s="129">
        <f t="shared" si="5"/>
        <v>0.009446314676749244</v>
      </c>
      <c r="AC36" s="9"/>
      <c r="AD36" s="123">
        <f>'直波・民消'!E13</f>
        <v>0.3668087147274481</v>
      </c>
    </row>
    <row r="37" spans="3:30" ht="18" customHeight="1">
      <c r="C37" s="120">
        <f t="shared" si="0"/>
        <v>0.00039750887954619264</v>
      </c>
      <c r="G37" s="123">
        <f>HLOOKUP('入力SHEET'!$L$6,'投入係数表'!$A$1:$AI45,ROW()-23)</f>
        <v>1.8124017394174464E-05</v>
      </c>
      <c r="I37" s="123">
        <f>'直波・民消'!F14</f>
        <v>0.21932713421140415</v>
      </c>
      <c r="L37" s="120">
        <f t="shared" si="1"/>
        <v>0.0029302417900702775</v>
      </c>
      <c r="N37" s="123">
        <f>HLOOKUP('入力SHEET'!$L$6,'逆行列係数表'!$A$1:$AH$34,ROW()-23)</f>
        <v>0.00017453743152422266</v>
      </c>
      <c r="P37"/>
      <c r="S37" s="126">
        <f t="shared" si="2"/>
        <v>0.0011184575952912176</v>
      </c>
      <c r="T37" s="16"/>
      <c r="U37" s="129">
        <f t="shared" si="3"/>
        <v>0.0029302417900702775</v>
      </c>
      <c r="V37" s="9"/>
      <c r="W37" s="123">
        <f>'直波・民消'!D14</f>
        <v>0.38169464345274834</v>
      </c>
      <c r="Z37" s="126">
        <f t="shared" si="4"/>
        <v>0.0007475000108779664</v>
      </c>
      <c r="AB37" s="129">
        <f t="shared" si="5"/>
        <v>0.0029302417900702775</v>
      </c>
      <c r="AC37" s="9"/>
      <c r="AD37" s="123">
        <f>'直波・民消'!E14</f>
        <v>0.2550984063537087</v>
      </c>
    </row>
    <row r="38" spans="3:30" ht="18" customHeight="1">
      <c r="C38" s="120">
        <f t="shared" si="0"/>
        <v>0.011014743012787593</v>
      </c>
      <c r="G38" s="123">
        <f>HLOOKUP('入力SHEET'!$L$6,'投入係数表'!$A$1:$AI46,ROW()-23)</f>
        <v>0.0005356263097889249</v>
      </c>
      <c r="I38" s="123">
        <f>'直波・民消'!F15</f>
        <v>0.2056423071736</v>
      </c>
      <c r="L38" s="120">
        <f t="shared" si="1"/>
        <v>0.00456784871350136</v>
      </c>
      <c r="N38" s="123">
        <f>HLOOKUP('入力SHEET'!$L$6,'逆行列係数表'!$A$1:$AH$34,ROW()-23)</f>
        <v>0.0002720801350753485</v>
      </c>
      <c r="P38"/>
      <c r="S38" s="126">
        <f t="shared" si="2"/>
        <v>0.0010406977871746522</v>
      </c>
      <c r="T38" s="16"/>
      <c r="U38" s="129">
        <f t="shared" si="3"/>
        <v>0.00456784871350136</v>
      </c>
      <c r="V38" s="9"/>
      <c r="W38" s="123">
        <f>'直波・民消'!D15</f>
        <v>0.2278310540580346</v>
      </c>
      <c r="Z38" s="126">
        <f t="shared" si="4"/>
        <v>0.0007327809351045521</v>
      </c>
      <c r="AB38" s="129">
        <f t="shared" si="5"/>
        <v>0.00456784871350136</v>
      </c>
      <c r="AC38" s="9"/>
      <c r="AD38" s="123">
        <f>'直波・民消'!E15</f>
        <v>0.16042145462012442</v>
      </c>
    </row>
    <row r="39" spans="3:30" ht="18" customHeight="1">
      <c r="C39" s="120">
        <f t="shared" si="0"/>
        <v>0.1787838055919393</v>
      </c>
      <c r="G39" s="123">
        <f>HLOOKUP('入力SHEET'!$L$6,'投入係数表'!$A$1:$AI47,ROW()-23)</f>
        <v>0.01162634260316644</v>
      </c>
      <c r="I39" s="123">
        <f>'直波・民消'!F16</f>
        <v>0.15377476106995802</v>
      </c>
      <c r="L39" s="120">
        <f t="shared" si="1"/>
        <v>0.03528493877102433</v>
      </c>
      <c r="N39" s="123">
        <f>HLOOKUP('入力SHEET'!$L$6,'逆行列係数表'!$A$1:$AH$34,ROW()-23)</f>
        <v>0.002101718228664108</v>
      </c>
      <c r="P39"/>
      <c r="S39" s="126">
        <f t="shared" si="2"/>
        <v>0.01167405395916571</v>
      </c>
      <c r="T39" s="16"/>
      <c r="U39" s="129">
        <f t="shared" si="3"/>
        <v>0.03528493877102433</v>
      </c>
      <c r="V39" s="9"/>
      <c r="W39" s="123">
        <f>'直波・民消'!D16</f>
        <v>0.33085090596082706</v>
      </c>
      <c r="Z39" s="126">
        <f t="shared" si="4"/>
        <v>0.008044404815550955</v>
      </c>
      <c r="AB39" s="129">
        <f t="shared" si="5"/>
        <v>0.03528493877102433</v>
      </c>
      <c r="AC39" s="9"/>
      <c r="AD39" s="123">
        <f>'直波・民消'!E16</f>
        <v>0.22798409450994844</v>
      </c>
    </row>
    <row r="40" spans="3:30" ht="18" customHeight="1">
      <c r="C40" s="120">
        <f t="shared" si="0"/>
        <v>0.00022885709102922955</v>
      </c>
      <c r="G40" s="123">
        <f>HLOOKUP('入力SHEET'!$L$6,'投入係数表'!$A$1:$AI48,ROW()-23)</f>
        <v>8.765148553416729E-05</v>
      </c>
      <c r="I40" s="123">
        <f>'直波・民消'!F17</f>
        <v>0.02610989301944222</v>
      </c>
      <c r="L40" s="120">
        <f t="shared" si="1"/>
        <v>6.752429960730794E-05</v>
      </c>
      <c r="N40" s="123">
        <f>HLOOKUP('入力SHEET'!$L$6,'逆行列係数表'!$A$1:$AH$34,ROW()-23)</f>
        <v>4.0220291236270116E-06</v>
      </c>
      <c r="P40"/>
      <c r="S40" s="126">
        <f t="shared" si="2"/>
        <v>2.9992988233851122E-05</v>
      </c>
      <c r="T40" s="16"/>
      <c r="U40" s="129">
        <f t="shared" si="3"/>
        <v>6.752429960730794E-05</v>
      </c>
      <c r="V40" s="9"/>
      <c r="W40" s="123">
        <f>'直波・民消'!D17</f>
        <v>0.44418066397248607</v>
      </c>
      <c r="Z40" s="126">
        <f t="shared" si="4"/>
        <v>1.999123865231162E-05</v>
      </c>
      <c r="AB40" s="129">
        <f t="shared" si="5"/>
        <v>6.752429960730794E-05</v>
      </c>
      <c r="AC40" s="9"/>
      <c r="AD40" s="123">
        <f>'直波・民消'!E17</f>
        <v>0.2960599187044071</v>
      </c>
    </row>
    <row r="41" spans="3:30" ht="18" customHeight="1">
      <c r="C41" s="120">
        <f t="shared" si="0"/>
        <v>0.3235638805539786</v>
      </c>
      <c r="G41" s="123">
        <f>HLOOKUP('入力SHEET'!$L$6,'投入係数表'!$A$1:$AI49,ROW()-23)</f>
        <v>0.012199635556947905</v>
      </c>
      <c r="I41" s="123">
        <f>'直波・民消'!F18</f>
        <v>0.26522421841503563</v>
      </c>
      <c r="L41" s="120">
        <f t="shared" si="1"/>
        <v>0.07565506712608956</v>
      </c>
      <c r="N41" s="123">
        <f>HLOOKUP('入力SHEET'!$L$6,'逆行列係数表'!$A$1:$AH$34,ROW()-23)</f>
        <v>0.004506331573976914</v>
      </c>
      <c r="P41"/>
      <c r="S41" s="126">
        <f t="shared" si="2"/>
        <v>0.033279877673921855</v>
      </c>
      <c r="T41" s="16"/>
      <c r="U41" s="129">
        <f t="shared" si="3"/>
        <v>0.07565506712608956</v>
      </c>
      <c r="V41" s="9"/>
      <c r="W41" s="123">
        <f>'直波・民消'!D18</f>
        <v>0.4398896060518507</v>
      </c>
      <c r="Z41" s="126">
        <f t="shared" si="4"/>
        <v>0.02154072856153503</v>
      </c>
      <c r="AB41" s="129">
        <f t="shared" si="5"/>
        <v>0.07565506712608956</v>
      </c>
      <c r="AC41" s="9"/>
      <c r="AD41" s="123">
        <f>'直波・民消'!E18</f>
        <v>0.2847228795083143</v>
      </c>
    </row>
    <row r="42" spans="3:30" ht="18" customHeight="1">
      <c r="C42" s="120">
        <f t="shared" si="0"/>
        <v>0.4322255569804243</v>
      </c>
      <c r="G42" s="123">
        <f>HLOOKUP('入力SHEET'!$L$6,'投入係数表'!$A$1:$AI50,ROW()-23)</f>
        <v>0.004323198121203579</v>
      </c>
      <c r="I42" s="123">
        <f>'直波・民消'!F19</f>
        <v>0.9997819782085136</v>
      </c>
      <c r="L42" s="120">
        <f t="shared" si="1"/>
        <v>0.09353193737464771</v>
      </c>
      <c r="N42" s="123">
        <f>HLOOKUP('入力SHEET'!$L$6,'逆行列係数表'!$A$1:$AH$34,ROW()-23)</f>
        <v>0.005571152582075464</v>
      </c>
      <c r="P42"/>
      <c r="S42" s="126">
        <f t="shared" si="2"/>
        <v>0.044857112663301585</v>
      </c>
      <c r="T42" s="16"/>
      <c r="U42" s="129">
        <f t="shared" si="3"/>
        <v>0.09353193737464771</v>
      </c>
      <c r="V42" s="9"/>
      <c r="W42" s="123">
        <f>'直波・民消'!D19</f>
        <v>0.4795913986430514</v>
      </c>
      <c r="Z42" s="126">
        <f t="shared" si="4"/>
        <v>0.03282643015080982</v>
      </c>
      <c r="AB42" s="129">
        <f t="shared" si="5"/>
        <v>0.09353193737464771</v>
      </c>
      <c r="AC42" s="9"/>
      <c r="AD42" s="123">
        <f>'直波・民消'!E19</f>
        <v>0.3509649331791515</v>
      </c>
    </row>
    <row r="43" spans="3:30" ht="18" customHeight="1">
      <c r="C43" s="120">
        <f t="shared" si="0"/>
        <v>0.23161008179937104</v>
      </c>
      <c r="G43" s="123">
        <f>HLOOKUP('入力SHEET'!$L$6,'投入係数表'!$A$1:$AI51,ROW()-23)</f>
        <v>0.005026341359618724</v>
      </c>
      <c r="I43" s="123">
        <f>'直波・民消'!F20</f>
        <v>0.46079258297120507</v>
      </c>
      <c r="L43" s="120">
        <f t="shared" si="1"/>
        <v>0.054372540407526586</v>
      </c>
      <c r="N43" s="123">
        <f>HLOOKUP('入力SHEET'!$L$6,'逆行列係数表'!$A$1:$AH$34,ROW()-23)</f>
        <v>0.0032386554516885433</v>
      </c>
      <c r="P43"/>
      <c r="S43" s="126">
        <f t="shared" si="2"/>
        <v>0.03005199688495421</v>
      </c>
      <c r="T43" s="16"/>
      <c r="U43" s="129">
        <f t="shared" si="3"/>
        <v>0.054372540407526586</v>
      </c>
      <c r="V43" s="9"/>
      <c r="W43" s="123">
        <f>'直波・民消'!D20</f>
        <v>0.5527054034943386</v>
      </c>
      <c r="Z43" s="126">
        <f t="shared" si="4"/>
        <v>0.00538486017583129</v>
      </c>
      <c r="AB43" s="129">
        <f t="shared" si="5"/>
        <v>0.054372540407526586</v>
      </c>
      <c r="AC43" s="9"/>
      <c r="AD43" s="123">
        <f>'直波・民消'!E20</f>
        <v>0.09903639108033811</v>
      </c>
    </row>
    <row r="44" spans="3:30" ht="18" customHeight="1">
      <c r="C44" s="120">
        <f t="shared" si="0"/>
        <v>0.03313146193046475</v>
      </c>
      <c r="G44" s="123">
        <f>HLOOKUP('入力SHEET'!$L$6,'投入係数表'!$A$1:$AI52,ROW()-23)</f>
        <v>0.0004260664629058006</v>
      </c>
      <c r="I44" s="123">
        <f>'直波・民消'!F21</f>
        <v>0.7776125279728908</v>
      </c>
      <c r="L44" s="120">
        <f t="shared" si="1"/>
        <v>0.014727348101514728</v>
      </c>
      <c r="N44" s="123">
        <f>HLOOKUP('入力SHEET'!$L$6,'逆行列係数表'!$A$1:$AH$34,ROW()-23)</f>
        <v>0.0008772223232608625</v>
      </c>
      <c r="P44"/>
      <c r="S44" s="126">
        <f t="shared" si="2"/>
        <v>0.009542373791918347</v>
      </c>
      <c r="T44" s="16"/>
      <c r="U44" s="129">
        <f t="shared" si="3"/>
        <v>0.014727348101514728</v>
      </c>
      <c r="V44" s="9"/>
      <c r="W44" s="123">
        <f>'直波・民消'!D21</f>
        <v>0.6479356450423617</v>
      </c>
      <c r="Z44" s="126">
        <f t="shared" si="4"/>
        <v>0.004904528263352256</v>
      </c>
      <c r="AB44" s="129">
        <f t="shared" si="5"/>
        <v>0.014727348101514728</v>
      </c>
      <c r="AC44" s="9"/>
      <c r="AD44" s="123">
        <f>'直波・民消'!E21</f>
        <v>0.33302181964774896</v>
      </c>
    </row>
    <row r="45" spans="3:30" ht="18" customHeight="1">
      <c r="C45" s="120">
        <f t="shared" si="0"/>
        <v>2.555187093355323</v>
      </c>
      <c r="G45" s="123">
        <f>HLOOKUP('入力SHEET'!$L$6,'投入係数表'!$A$1:$AI53,ROW()-23)</f>
        <v>0.0445953914365697</v>
      </c>
      <c r="I45" s="123">
        <f>'直波・民消'!F22</f>
        <v>0.5729711100281956</v>
      </c>
      <c r="L45" s="120">
        <f t="shared" si="1"/>
        <v>0.49171075192698344</v>
      </c>
      <c r="N45" s="123">
        <f>HLOOKUP('入力SHEET'!$L$6,'逆行列係数表'!$A$1:$AH$34,ROW()-23)</f>
        <v>0.029288344731484287</v>
      </c>
      <c r="P45"/>
      <c r="S45" s="126">
        <f t="shared" si="2"/>
        <v>0.34920843409341135</v>
      </c>
      <c r="T45" s="16"/>
      <c r="U45" s="129">
        <f t="shared" si="3"/>
        <v>0.49171075192698344</v>
      </c>
      <c r="V45" s="9"/>
      <c r="W45" s="123">
        <f>'直波・民消'!D22</f>
        <v>0.7101907630144053</v>
      </c>
      <c r="Z45" s="126">
        <f t="shared" si="4"/>
        <v>0.24319745034851842</v>
      </c>
      <c r="AB45" s="129">
        <f t="shared" si="5"/>
        <v>0.49171075192698344</v>
      </c>
      <c r="AC45" s="9"/>
      <c r="AD45" s="123">
        <f>'直波・民消'!E22</f>
        <v>0.49459453427740385</v>
      </c>
    </row>
    <row r="46" spans="3:30" ht="18" customHeight="1">
      <c r="C46" s="120">
        <f t="shared" si="0"/>
        <v>3.1221351937758666</v>
      </c>
      <c r="G46" s="123">
        <f>HLOOKUP('入力SHEET'!$L$6,'投入係数表'!$A$1:$AI54,ROW()-23)</f>
        <v>0.03591907018226288</v>
      </c>
      <c r="I46" s="123">
        <f>'直波・民消'!F23</f>
        <v>0.8692138125885011</v>
      </c>
      <c r="L46" s="120">
        <f t="shared" si="1"/>
        <v>0.6693453379950826</v>
      </c>
      <c r="N46" s="123">
        <f>HLOOKUP('入力SHEET'!$L$6,'逆行列係数表'!$A$1:$AH$34,ROW()-23)</f>
        <v>0.03986900210496708</v>
      </c>
      <c r="P46"/>
      <c r="S46" s="126">
        <f t="shared" si="2"/>
        <v>0.456548646859606</v>
      </c>
      <c r="T46" s="16"/>
      <c r="U46" s="129">
        <f t="shared" si="3"/>
        <v>0.6693453379950826</v>
      </c>
      <c r="V46" s="9"/>
      <c r="W46" s="123">
        <f>'直波・民消'!D23</f>
        <v>0.6820823586029968</v>
      </c>
      <c r="Z46" s="126">
        <f t="shared" si="4"/>
        <v>0.22058805411544846</v>
      </c>
      <c r="AB46" s="129">
        <f t="shared" si="5"/>
        <v>0.6693453379950826</v>
      </c>
      <c r="AC46" s="9"/>
      <c r="AD46" s="123">
        <f>'直波・民消'!E23</f>
        <v>0.32955791516556293</v>
      </c>
    </row>
    <row r="47" spans="3:30" ht="18" customHeight="1">
      <c r="C47" s="120">
        <f t="shared" si="0"/>
        <v>0.046503341344648605</v>
      </c>
      <c r="G47" s="123">
        <f>HLOOKUP('入力SHEET'!$L$6,'投入係数表'!$A$1:$AI55,ROW()-23)</f>
        <v>0.0004776840849136719</v>
      </c>
      <c r="I47" s="123">
        <f>'直波・民消'!F24</f>
        <v>0.9735166569983756</v>
      </c>
      <c r="L47" s="120">
        <f t="shared" si="1"/>
        <v>0.045944279639118964</v>
      </c>
      <c r="N47" s="123">
        <f>HLOOKUP('入力SHEET'!$L$6,'逆行列係数表'!$A$1:$AH$34,ROW()-23)</f>
        <v>0.002736633061686742</v>
      </c>
      <c r="P47"/>
      <c r="S47" s="126">
        <f t="shared" si="2"/>
        <v>0.03983205469194005</v>
      </c>
      <c r="T47" s="16"/>
      <c r="U47" s="129">
        <f t="shared" si="3"/>
        <v>0.045944279639118964</v>
      </c>
      <c r="V47" s="9"/>
      <c r="W47" s="123">
        <f>'直波・民消'!D24</f>
        <v>0.8669643969784936</v>
      </c>
      <c r="Z47" s="126">
        <f t="shared" si="4"/>
        <v>0.001515262491752072</v>
      </c>
      <c r="AB47" s="129">
        <f t="shared" si="5"/>
        <v>0.045944279639118964</v>
      </c>
      <c r="AC47" s="9"/>
      <c r="AD47" s="123">
        <f>'直波・民消'!E24</f>
        <v>0.03298043855849057</v>
      </c>
    </row>
    <row r="48" spans="3:30" ht="18" customHeight="1">
      <c r="C48" s="120">
        <f t="shared" si="0"/>
        <v>1.369620905529726</v>
      </c>
      <c r="G48" s="123">
        <f>HLOOKUP('入力SHEET'!$L$6,'投入係数表'!$A$1:$AI56,ROW()-23)</f>
        <v>0.019035135018043138</v>
      </c>
      <c r="I48" s="123">
        <f>'直波・民消'!F25</f>
        <v>0.7195225588005977</v>
      </c>
      <c r="L48" s="120">
        <f t="shared" si="1"/>
        <v>0.29167446849048906</v>
      </c>
      <c r="N48" s="123">
        <f>HLOOKUP('入力SHEET'!$L$6,'逆行列係数表'!$A$1:$AH$34,ROW()-23)</f>
        <v>0.017373348760513656</v>
      </c>
      <c r="P48"/>
      <c r="S48" s="126">
        <f t="shared" si="2"/>
        <v>0.1866353537267107</v>
      </c>
      <c r="T48" s="16"/>
      <c r="U48" s="129">
        <f t="shared" si="3"/>
        <v>0.29167446849048906</v>
      </c>
      <c r="V48" s="9"/>
      <c r="W48" s="123">
        <f>'直波・民消'!D25</f>
        <v>0.6398755252477524</v>
      </c>
      <c r="Z48" s="126">
        <f t="shared" si="4"/>
        <v>0.13364997721153793</v>
      </c>
      <c r="AB48" s="129">
        <f t="shared" si="5"/>
        <v>0.29167446849048906</v>
      </c>
      <c r="AC48" s="9"/>
      <c r="AD48" s="123">
        <f>'直波・民消'!E25</f>
        <v>0.458216236420076</v>
      </c>
    </row>
    <row r="49" spans="3:30" ht="18" customHeight="1">
      <c r="C49" s="120">
        <f t="shared" si="0"/>
        <v>0.10906074452985545</v>
      </c>
      <c r="G49" s="123">
        <f>HLOOKUP('入力SHEET'!$L$6,'投入係数表'!$A$1:$AI57,ROW()-23)</f>
        <v>0.0014796189570006365</v>
      </c>
      <c r="I49" s="123">
        <f>'直波・民消'!F26</f>
        <v>0.7370866939345961</v>
      </c>
      <c r="L49" s="120">
        <f t="shared" si="1"/>
        <v>0.06271256884053639</v>
      </c>
      <c r="N49" s="123">
        <f>HLOOKUP('入力SHEET'!$L$6,'逆行列係数表'!$A$1:$AH$34,ROW()-23)</f>
        <v>0.0037354223555219664</v>
      </c>
      <c r="P49"/>
      <c r="S49" s="126">
        <f t="shared" si="2"/>
        <v>0.03551825355081764</v>
      </c>
      <c r="T49" s="16"/>
      <c r="U49" s="129">
        <f t="shared" si="3"/>
        <v>0.06271256884053639</v>
      </c>
      <c r="V49" s="9"/>
      <c r="W49" s="123">
        <f>'直波・民消'!D26</f>
        <v>0.566365789306644</v>
      </c>
      <c r="Z49" s="126">
        <f t="shared" si="4"/>
        <v>0.015981208212368446</v>
      </c>
      <c r="AB49" s="129">
        <f t="shared" si="5"/>
        <v>0.06271256884053639</v>
      </c>
      <c r="AC49" s="9"/>
      <c r="AD49" s="123">
        <f>'直波・民消'!E26</f>
        <v>0.25483261980552857</v>
      </c>
    </row>
    <row r="50" spans="3:30" ht="18" customHeight="1">
      <c r="C50" s="120">
        <f t="shared" si="0"/>
        <v>0</v>
      </c>
      <c r="G50" s="123">
        <f>HLOOKUP('入力SHEET'!$L$6,'投入係数表'!$A$1:$AI58,ROW()-23)</f>
        <v>0</v>
      </c>
      <c r="I50" s="123">
        <f>'直波・民消'!F27</f>
        <v>1</v>
      </c>
      <c r="L50" s="120">
        <f t="shared" si="1"/>
        <v>0.015597493794332831</v>
      </c>
      <c r="N50" s="123">
        <f>HLOOKUP('入力SHEET'!$L$6,'逆行列係数表'!$A$1:$AH$34,ROW()-23)</f>
        <v>0.0009290518326177318</v>
      </c>
      <c r="P50"/>
      <c r="S50" s="126">
        <f t="shared" si="2"/>
        <v>0.009930031984952622</v>
      </c>
      <c r="T50" s="16"/>
      <c r="U50" s="129">
        <f t="shared" si="3"/>
        <v>0.015597493794332831</v>
      </c>
      <c r="V50" s="9"/>
      <c r="W50" s="123">
        <f>'直波・民消'!D27</f>
        <v>0.6366427912002494</v>
      </c>
      <c r="Z50" s="126">
        <f t="shared" si="4"/>
        <v>0.009538996948674524</v>
      </c>
      <c r="AB50" s="129">
        <f t="shared" si="5"/>
        <v>0.015597493794332831</v>
      </c>
      <c r="AC50" s="9"/>
      <c r="AD50" s="123">
        <f>'直波・民消'!E27</f>
        <v>0.611572415059425</v>
      </c>
    </row>
    <row r="51" spans="3:30" ht="18" customHeight="1">
      <c r="C51" s="120">
        <f t="shared" si="0"/>
        <v>0.06770875367976072</v>
      </c>
      <c r="G51" s="123">
        <f>HLOOKUP('入力SHEET'!$L$6,'投入係数表'!$A$1:$AI59,ROW()-23)</f>
        <v>0.0007021554588559602</v>
      </c>
      <c r="I51" s="123">
        <f>'直波・民消'!F28</f>
        <v>0.9642986154388136</v>
      </c>
      <c r="L51" s="120">
        <f t="shared" si="1"/>
        <v>0.03382818168248428</v>
      </c>
      <c r="N51" s="123">
        <f>HLOOKUP('入力SHEET'!$L$6,'逆行列係数表'!$A$1:$AH$34,ROW()-23)</f>
        <v>0.0020149476961264547</v>
      </c>
      <c r="P51"/>
      <c r="S51" s="126">
        <f t="shared" si="2"/>
        <v>0.026778892226846058</v>
      </c>
      <c r="T51" s="16"/>
      <c r="U51" s="129">
        <f t="shared" si="3"/>
        <v>0.03382818168248428</v>
      </c>
      <c r="V51" s="9"/>
      <c r="W51" s="123">
        <f>'直波・民消'!D28</f>
        <v>0.7916148872025173</v>
      </c>
      <c r="Z51" s="126">
        <f t="shared" si="4"/>
        <v>0.024644422446925586</v>
      </c>
      <c r="AB51" s="129">
        <f t="shared" si="5"/>
        <v>0.03382818168248428</v>
      </c>
      <c r="AC51" s="9"/>
      <c r="AD51" s="123">
        <f>'直波・民消'!E28</f>
        <v>0.7285175028986584</v>
      </c>
    </row>
    <row r="52" spans="3:30" ht="18" customHeight="1">
      <c r="C52" s="120">
        <f t="shared" si="0"/>
        <v>7.560534696158129E-07</v>
      </c>
      <c r="G52" s="123">
        <f>HLOOKUP('入力SHEET'!$L$6,'投入係数表'!$A$1:$AI60,ROW()-23)</f>
        <v>7.656994618802075E-09</v>
      </c>
      <c r="I52" s="123">
        <f>'直波・民消'!F29</f>
        <v>0.9874023781592997</v>
      </c>
      <c r="L52" s="120">
        <f t="shared" si="1"/>
        <v>3.969405095645777E-05</v>
      </c>
      <c r="N52" s="123">
        <f>HLOOKUP('入力SHEET'!$L$6,'逆行列係数表'!$A$1:$AH$34,ROW()-23)</f>
        <v>2.3643433535788843E-06</v>
      </c>
      <c r="P52"/>
      <c r="S52" s="126">
        <f t="shared" si="2"/>
        <v>2.395328117695127E-05</v>
      </c>
      <c r="T52" s="16"/>
      <c r="U52" s="129">
        <f t="shared" si="3"/>
        <v>3.969405095645777E-05</v>
      </c>
      <c r="V52" s="9"/>
      <c r="W52" s="123">
        <f>'直波・民消'!D29</f>
        <v>0.6034476350933978</v>
      </c>
      <c r="Z52" s="126">
        <f t="shared" si="4"/>
        <v>1.992645470775611E-05</v>
      </c>
      <c r="AB52" s="129">
        <f t="shared" si="5"/>
        <v>3.969405095645777E-05</v>
      </c>
      <c r="AC52" s="9"/>
      <c r="AD52" s="123">
        <f>'直波・民消'!E29</f>
        <v>0.50200103611532</v>
      </c>
    </row>
    <row r="53" spans="3:30" ht="18" customHeight="1">
      <c r="C53" s="120">
        <f t="shared" si="0"/>
        <v>0.03424370668279035</v>
      </c>
      <c r="G53" s="123">
        <f>HLOOKUP('入力SHEET'!$L$6,'投入係数表'!$A$1:$AI61,ROW()-23)</f>
        <v>0.00034923340980893034</v>
      </c>
      <c r="I53" s="123">
        <f>'直波・民消'!F30</f>
        <v>0.9805392531466414</v>
      </c>
      <c r="L53" s="120">
        <f t="shared" si="1"/>
        <v>0.010066948357776122</v>
      </c>
      <c r="N53" s="123">
        <f>HLOOKUP('入力SHEET'!$L$6,'逆行列係数表'!$A$1:$AH$34,ROW()-23)</f>
        <v>0.0005996294625267408</v>
      </c>
      <c r="P53"/>
      <c r="S53" s="126">
        <f t="shared" si="2"/>
        <v>0.006853663803431757</v>
      </c>
      <c r="T53" s="16"/>
      <c r="U53" s="129">
        <f t="shared" si="3"/>
        <v>0.010066948357776122</v>
      </c>
      <c r="V53" s="9"/>
      <c r="W53" s="123">
        <f>'直波・民消'!D30</f>
        <v>0.6808084793777359</v>
      </c>
      <c r="Z53" s="126">
        <f t="shared" si="4"/>
        <v>0.005533278205307518</v>
      </c>
      <c r="AB53" s="129">
        <f t="shared" si="5"/>
        <v>0.010066948357776122</v>
      </c>
      <c r="AC53" s="9"/>
      <c r="AD53" s="123">
        <f>'直波・民消'!E30</f>
        <v>0.5496480173193089</v>
      </c>
    </row>
    <row r="54" spans="3:30" ht="18" customHeight="1">
      <c r="C54" s="120">
        <f t="shared" si="0"/>
        <v>1.8453724244176604</v>
      </c>
      <c r="G54" s="123">
        <f>HLOOKUP('入力SHEET'!$L$6,'投入係数表'!$A$1:$AI62,ROW()-23)</f>
        <v>0.024766616264941956</v>
      </c>
      <c r="I54" s="123">
        <f>'直波・民消'!F31</f>
        <v>0.7451047832601387</v>
      </c>
      <c r="L54" s="120">
        <f t="shared" si="1"/>
        <v>0.5142535785777149</v>
      </c>
      <c r="N54" s="123">
        <f>HLOOKUP('入力SHEET'!$L$6,'逆行列係数表'!$A$1:$AH$34,ROW()-23)</f>
        <v>0.03063108957808621</v>
      </c>
      <c r="P54"/>
      <c r="S54" s="126">
        <f t="shared" si="2"/>
        <v>0.3355139034186868</v>
      </c>
      <c r="T54" s="16"/>
      <c r="U54" s="129">
        <f t="shared" si="3"/>
        <v>0.5142535785777149</v>
      </c>
      <c r="V54" s="9"/>
      <c r="W54" s="123">
        <f>'直波・民消'!D31</f>
        <v>0.6524289132739275</v>
      </c>
      <c r="Z54" s="126">
        <f t="shared" si="4"/>
        <v>0.1928937874823438</v>
      </c>
      <c r="AB54" s="129">
        <f t="shared" si="5"/>
        <v>0.5142535785777149</v>
      </c>
      <c r="AC54" s="9"/>
      <c r="AD54" s="123">
        <f>'直波・民消'!E31</f>
        <v>0.37509469164188486</v>
      </c>
    </row>
    <row r="55" spans="3:30" ht="18" customHeight="1">
      <c r="C55" s="120">
        <f t="shared" si="0"/>
        <v>0.03697729342465711</v>
      </c>
      <c r="G55" s="123">
        <f>HLOOKUP('入力SHEET'!$L$6,'投入係数表'!$A$1:$AI63,ROW()-23)</f>
        <v>0.0004511585896760956</v>
      </c>
      <c r="I55" s="123">
        <f>'直波・民消'!F32</f>
        <v>0.819607434521075</v>
      </c>
      <c r="L55" s="120">
        <f t="shared" si="1"/>
        <v>0.013537842354566586</v>
      </c>
      <c r="N55" s="123">
        <f>HLOOKUP('入力SHEET'!$L$6,'逆行列係数表'!$A$1:$AH$34,ROW()-23)</f>
        <v>0.000806370396106192</v>
      </c>
      <c r="P55"/>
      <c r="S55" s="126">
        <f t="shared" si="2"/>
        <v>0.007706887180655133</v>
      </c>
      <c r="T55" s="16"/>
      <c r="U55" s="129">
        <f t="shared" si="3"/>
        <v>0.013537842354566586</v>
      </c>
      <c r="V55" s="9"/>
      <c r="W55" s="123">
        <f>'直波・民消'!D32</f>
        <v>0.5692847485445452</v>
      </c>
      <c r="Z55" s="126">
        <f t="shared" si="4"/>
        <v>0.004065519886469553</v>
      </c>
      <c r="AB55" s="129">
        <f t="shared" si="5"/>
        <v>0.013537842354566586</v>
      </c>
      <c r="AC55" s="9"/>
      <c r="AD55" s="123">
        <f>'直波・民消'!E32</f>
        <v>0.30030781715360805</v>
      </c>
    </row>
    <row r="56" spans="3:30" ht="18" customHeight="1">
      <c r="C56" s="120">
        <f t="shared" si="0"/>
        <v>0.06660220878285188</v>
      </c>
      <c r="G56" s="123">
        <f>HLOOKUP('入力SHEET'!$L$6,'投入係数表'!$A$1:$AI64,ROW()-23)</f>
        <v>0.0006660220878285188</v>
      </c>
      <c r="I56" s="123">
        <f>'直波・民消'!F33</f>
        <v>1</v>
      </c>
      <c r="L56" s="120">
        <f t="shared" si="1"/>
        <v>0.019248613108113127</v>
      </c>
      <c r="N56" s="123">
        <f>HLOOKUP('入力SHEET'!$L$6,'逆行列係数表'!$A$1:$AH$34,ROW()-23)</f>
        <v>0.0011465277383177906</v>
      </c>
      <c r="P56"/>
      <c r="S56" s="126">
        <f t="shared" si="2"/>
        <v>0</v>
      </c>
      <c r="T56" s="16"/>
      <c r="U56" s="129">
        <f t="shared" si="3"/>
        <v>0.019248613108113127</v>
      </c>
      <c r="V56" s="9"/>
      <c r="W56" s="123">
        <f>'直波・民消'!D33</f>
        <v>0</v>
      </c>
      <c r="Z56" s="126">
        <f t="shared" si="4"/>
        <v>0</v>
      </c>
      <c r="AB56" s="129">
        <f t="shared" si="5"/>
        <v>0.019248613108113127</v>
      </c>
      <c r="AC56" s="9"/>
      <c r="AD56" s="123">
        <f>'直波・民消'!E33</f>
        <v>0</v>
      </c>
    </row>
    <row r="57" spans="3:30" ht="18" customHeight="1" thickBot="1">
      <c r="C57" s="121">
        <f t="shared" si="0"/>
        <v>0.45380055239433686</v>
      </c>
      <c r="G57" s="124">
        <f>HLOOKUP('入力SHEET'!$L$6,'投入係数表'!$A$1:$AI65,ROW()-23)</f>
        <v>0.005815557686608147</v>
      </c>
      <c r="I57" s="124">
        <f>'直波・民消'!F34</f>
        <v>0.7803216421347382</v>
      </c>
      <c r="L57" s="121">
        <f t="shared" si="1"/>
        <v>0.09269743040783744</v>
      </c>
      <c r="N57" s="124">
        <f>HLOOKUP('入力SHEET'!$L$6,'逆行列係数表'!$A$1:$AH$34,ROW()-23)</f>
        <v>0.005521445863991752</v>
      </c>
      <c r="P57"/>
      <c r="S57" s="127">
        <f t="shared" si="2"/>
        <v>0.02831796202746702</v>
      </c>
      <c r="T57" s="16"/>
      <c r="U57" s="130">
        <f t="shared" si="3"/>
        <v>0.09269743040783744</v>
      </c>
      <c r="V57" s="9"/>
      <c r="W57" s="124">
        <f>'直波・民消'!D34</f>
        <v>0.305488101481104</v>
      </c>
      <c r="Z57" s="127">
        <f t="shared" si="4"/>
        <v>0.0059758296824511375</v>
      </c>
      <c r="AB57" s="130">
        <f t="shared" si="5"/>
        <v>0.09269743040783744</v>
      </c>
      <c r="AC57" s="9"/>
      <c r="AD57" s="124">
        <f>'直波・民消'!E34</f>
        <v>0.0644659690798278</v>
      </c>
    </row>
    <row r="58" spans="1:31" ht="18" customHeight="1">
      <c r="A58" s="34"/>
      <c r="B58" s="19"/>
      <c r="C58" s="34"/>
      <c r="D58" s="19"/>
      <c r="E58" s="34"/>
      <c r="F58" s="19"/>
      <c r="G58" s="34"/>
      <c r="H58" s="19"/>
      <c r="L58" s="34"/>
      <c r="M58" s="19"/>
      <c r="N58" s="34"/>
      <c r="O58" s="19"/>
      <c r="P58" s="34"/>
      <c r="S58" s="34"/>
      <c r="T58" s="19"/>
      <c r="U58" s="34"/>
      <c r="V58" s="34"/>
      <c r="W58" s="34"/>
      <c r="Z58" s="34"/>
      <c r="AA58" s="19"/>
      <c r="AB58" s="34"/>
      <c r="AC58" s="19"/>
      <c r="AD58" s="34"/>
      <c r="AE58" s="34"/>
    </row>
    <row r="59" spans="1:45" ht="18" customHeight="1">
      <c r="A59" s="14"/>
      <c r="B59" s="20"/>
      <c r="C59" s="14"/>
      <c r="D59" s="20"/>
      <c r="E59" s="14"/>
      <c r="F59" s="20"/>
      <c r="G59" s="14"/>
      <c r="H59" s="20"/>
      <c r="I59" s="14"/>
      <c r="J59" s="14"/>
      <c r="K59" s="20"/>
      <c r="L59" s="14"/>
      <c r="M59" s="20"/>
      <c r="N59" s="14"/>
      <c r="O59" s="20"/>
      <c r="P59" s="14"/>
      <c r="Q59" s="14"/>
      <c r="R59" s="20"/>
      <c r="S59" s="14"/>
      <c r="T59" s="14"/>
      <c r="U59" s="14"/>
      <c r="V59" s="20"/>
      <c r="W59" s="14"/>
      <c r="X59" s="14"/>
      <c r="Y59" s="20"/>
      <c r="Z59" s="14"/>
      <c r="AA59" s="20"/>
      <c r="AB59" s="14"/>
      <c r="AC59" s="20"/>
      <c r="AD59" s="14"/>
      <c r="AE59" s="14"/>
      <c r="AF59" s="14"/>
      <c r="AG59" s="14"/>
      <c r="AH59" s="14"/>
      <c r="AI59" s="14"/>
      <c r="AJ59" s="14"/>
      <c r="AK59" s="14"/>
      <c r="AL59" s="14"/>
      <c r="AM59" s="14"/>
      <c r="AN59" s="14"/>
      <c r="AO59" s="14"/>
      <c r="AP59" s="14"/>
      <c r="AQ59" s="14"/>
      <c r="AR59" s="14"/>
      <c r="AS59" s="14"/>
    </row>
    <row r="60" spans="1:45" ht="18" customHeight="1">
      <c r="A60" s="34"/>
      <c r="B60" s="19"/>
      <c r="C60" s="34"/>
      <c r="D60" s="19"/>
      <c r="E60" s="34"/>
      <c r="F60" s="19"/>
      <c r="G60" s="34"/>
      <c r="H60" s="19"/>
      <c r="I60" s="34"/>
      <c r="J60" s="34"/>
      <c r="K60" s="19"/>
      <c r="L60" s="34"/>
      <c r="M60" s="19"/>
      <c r="N60" s="34"/>
      <c r="O60" s="19"/>
      <c r="P60" s="34"/>
      <c r="Q60" s="34"/>
      <c r="R60" s="19"/>
      <c r="S60" s="34"/>
      <c r="T60" s="34"/>
      <c r="U60" s="34"/>
      <c r="V60" s="19"/>
      <c r="W60" s="34"/>
      <c r="X60" s="34"/>
      <c r="Y60" s="19"/>
      <c r="Z60" s="34"/>
      <c r="AA60" s="19"/>
      <c r="AB60" s="34"/>
      <c r="AC60" s="19"/>
      <c r="AD60" s="34"/>
      <c r="AE60" s="34"/>
      <c r="AF60" s="34"/>
      <c r="AG60" s="34"/>
      <c r="AH60" s="34"/>
      <c r="AI60" s="34"/>
      <c r="AJ60" s="34"/>
      <c r="AK60" s="34"/>
      <c r="AL60" s="34"/>
      <c r="AM60" s="34"/>
      <c r="AN60" s="34"/>
      <c r="AO60" s="34"/>
      <c r="AP60" s="34"/>
      <c r="AQ60" s="34"/>
      <c r="AR60" s="34"/>
      <c r="AS60" s="34"/>
    </row>
    <row r="61" spans="1:45" ht="18" customHeight="1">
      <c r="A61" s="34"/>
      <c r="B61" s="19"/>
      <c r="C61" s="34"/>
      <c r="D61" s="19"/>
      <c r="E61" s="34"/>
      <c r="F61" s="19"/>
      <c r="G61" s="34"/>
      <c r="H61" s="19"/>
      <c r="I61" s="34"/>
      <c r="J61" s="34"/>
      <c r="K61" s="19"/>
      <c r="L61" s="34"/>
      <c r="M61" s="19"/>
      <c r="N61" s="34"/>
      <c r="O61" s="19"/>
      <c r="P61" s="34"/>
      <c r="Q61" s="34"/>
      <c r="R61" s="19"/>
      <c r="S61" s="34"/>
      <c r="T61" s="34"/>
      <c r="U61" s="34"/>
      <c r="V61" s="19"/>
      <c r="W61" s="34"/>
      <c r="X61" s="34"/>
      <c r="Y61" s="19"/>
      <c r="Z61" s="34"/>
      <c r="AA61" s="19"/>
      <c r="AB61" s="34"/>
      <c r="AC61" s="19"/>
      <c r="AD61" s="34"/>
      <c r="AE61" s="34"/>
      <c r="AF61" s="34"/>
      <c r="AG61" s="34"/>
      <c r="AH61" s="34"/>
      <c r="AI61" s="34"/>
      <c r="AJ61" s="34"/>
      <c r="AK61" s="34"/>
      <c r="AL61" s="34"/>
      <c r="AM61" s="34"/>
      <c r="AN61" s="34"/>
      <c r="AO61" s="34"/>
      <c r="AP61" s="34"/>
      <c r="AQ61" s="34"/>
      <c r="AR61" s="34"/>
      <c r="AS61" s="34"/>
    </row>
    <row r="62" spans="1:45" ht="18" customHeight="1">
      <c r="A62" s="34"/>
      <c r="B62" s="19"/>
      <c r="C62" s="34"/>
      <c r="D62" s="19"/>
      <c r="E62" s="34"/>
      <c r="F62" s="19"/>
      <c r="G62" s="34"/>
      <c r="H62" s="19"/>
      <c r="I62" s="34"/>
      <c r="J62" s="34"/>
      <c r="K62" s="19"/>
      <c r="L62" s="34"/>
      <c r="M62" s="19"/>
      <c r="N62" s="34"/>
      <c r="O62" s="19"/>
      <c r="P62" s="34"/>
      <c r="Q62" s="34"/>
      <c r="R62" s="19"/>
      <c r="S62" s="34"/>
      <c r="T62" s="34"/>
      <c r="U62" s="34"/>
      <c r="V62" s="19"/>
      <c r="W62" s="34"/>
      <c r="X62" s="34"/>
      <c r="Y62" s="19"/>
      <c r="Z62" s="34"/>
      <c r="AA62" s="19"/>
      <c r="AB62" s="34"/>
      <c r="AC62" s="19"/>
      <c r="AD62" s="34"/>
      <c r="AE62" s="34"/>
      <c r="AF62" s="34"/>
      <c r="AG62" s="34"/>
      <c r="AH62" s="34"/>
      <c r="AI62" s="34"/>
      <c r="AJ62" s="34"/>
      <c r="AK62" s="34"/>
      <c r="AL62" s="34"/>
      <c r="AM62" s="34"/>
      <c r="AN62" s="34"/>
      <c r="AO62" s="34"/>
      <c r="AP62" s="34"/>
      <c r="AQ62" s="34"/>
      <c r="AR62" s="34"/>
      <c r="AS62" s="34"/>
    </row>
    <row r="63" spans="1:45" ht="18" customHeight="1">
      <c r="A63" s="34"/>
      <c r="B63" s="19"/>
      <c r="C63" s="34"/>
      <c r="D63" s="19"/>
      <c r="E63" s="34"/>
      <c r="F63" s="19"/>
      <c r="G63" s="34"/>
      <c r="H63" s="19"/>
      <c r="I63" s="34"/>
      <c r="J63" s="34"/>
      <c r="K63" s="19"/>
      <c r="L63" s="34"/>
      <c r="M63" s="19"/>
      <c r="N63" s="34"/>
      <c r="O63" s="19"/>
      <c r="P63" s="34"/>
      <c r="Q63" s="34"/>
      <c r="R63" s="19"/>
      <c r="S63" s="34"/>
      <c r="T63" s="34"/>
      <c r="U63" s="34"/>
      <c r="V63" s="19"/>
      <c r="W63" s="34"/>
      <c r="X63" s="34"/>
      <c r="Y63" s="19"/>
      <c r="Z63" s="34"/>
      <c r="AA63" s="19"/>
      <c r="AB63" s="34"/>
      <c r="AC63" s="19"/>
      <c r="AD63" s="34"/>
      <c r="AE63" s="34"/>
      <c r="AF63" s="34"/>
      <c r="AG63" s="34"/>
      <c r="AH63" s="34"/>
      <c r="AI63" s="34"/>
      <c r="AJ63" s="34"/>
      <c r="AK63" s="34"/>
      <c r="AL63" s="34"/>
      <c r="AM63" s="34"/>
      <c r="AN63" s="34"/>
      <c r="AO63" s="34"/>
      <c r="AP63" s="34"/>
      <c r="AQ63" s="34"/>
      <c r="AR63" s="34"/>
      <c r="AS63" s="34"/>
    </row>
    <row r="64" ht="18" customHeight="1">
      <c r="A64" s="47" t="s">
        <v>79</v>
      </c>
    </row>
    <row r="65" ht="18" customHeight="1">
      <c r="N65" s="17"/>
    </row>
    <row r="66" spans="2:44" ht="29.25" customHeight="1">
      <c r="B66" s="18" t="s">
        <v>45</v>
      </c>
      <c r="C66" s="15" t="s">
        <v>178</v>
      </c>
      <c r="D66" s="9" t="s">
        <v>69</v>
      </c>
      <c r="E66" s="9" t="s">
        <v>177</v>
      </c>
      <c r="G66" s="9" t="s">
        <v>176</v>
      </c>
      <c r="K66" s="15" t="s">
        <v>182</v>
      </c>
      <c r="L66" s="53" t="s">
        <v>183</v>
      </c>
      <c r="M66" s="9" t="s">
        <v>78</v>
      </c>
      <c r="N66" s="9" t="s">
        <v>181</v>
      </c>
      <c r="O66" s="9" t="s">
        <v>77</v>
      </c>
      <c r="P66" s="35" t="s">
        <v>137</v>
      </c>
      <c r="R66" s="15" t="s">
        <v>186</v>
      </c>
      <c r="S66" s="53" t="s">
        <v>185</v>
      </c>
      <c r="T66" s="9" t="s">
        <v>78</v>
      </c>
      <c r="U66" s="35" t="s">
        <v>184</v>
      </c>
      <c r="V66" s="9" t="s">
        <v>77</v>
      </c>
      <c r="W66" s="48" t="s">
        <v>165</v>
      </c>
      <c r="Y66" s="15" t="s">
        <v>187</v>
      </c>
      <c r="Z66" s="15" t="s">
        <v>188</v>
      </c>
      <c r="AA66" s="9" t="s">
        <v>78</v>
      </c>
      <c r="AB66" s="9" t="s">
        <v>179</v>
      </c>
      <c r="AC66" s="9" t="s">
        <v>77</v>
      </c>
      <c r="AD66" s="48" t="s">
        <v>194</v>
      </c>
      <c r="AE66" s="16"/>
      <c r="AF66" s="18" t="s">
        <v>140</v>
      </c>
      <c r="AG66" s="52" t="s">
        <v>174</v>
      </c>
      <c r="AH66" s="9" t="s">
        <v>78</v>
      </c>
      <c r="AI66" s="9" t="s">
        <v>179</v>
      </c>
      <c r="AJ66" s="16" t="s">
        <v>77</v>
      </c>
      <c r="AK66" s="48" t="s">
        <v>189</v>
      </c>
      <c r="AM66" s="18" t="s">
        <v>141</v>
      </c>
      <c r="AN66" s="52" t="s">
        <v>192</v>
      </c>
      <c r="AO66" s="9" t="s">
        <v>78</v>
      </c>
      <c r="AP66" s="9" t="s">
        <v>191</v>
      </c>
      <c r="AQ66" s="16" t="s">
        <v>77</v>
      </c>
      <c r="AR66" s="48" t="s">
        <v>190</v>
      </c>
    </row>
    <row r="67" spans="11:43" ht="9" customHeight="1" thickBot="1">
      <c r="K67" s="9"/>
      <c r="M67" s="9"/>
      <c r="O67" s="9"/>
      <c r="R67" s="9"/>
      <c r="V67" s="9"/>
      <c r="Y67" s="9"/>
      <c r="AA67" s="9"/>
      <c r="AC67" s="9"/>
      <c r="AE67" s="16"/>
      <c r="AF67" s="16"/>
      <c r="AJ67" s="16"/>
      <c r="AM67" s="16"/>
      <c r="AQ67" s="16"/>
    </row>
    <row r="68" spans="2:45" ht="18" customHeight="1" thickBot="1">
      <c r="B68" s="9"/>
      <c r="C68" s="131">
        <f>$E$68+$G$68</f>
        <v>14.007063257688579</v>
      </c>
      <c r="D68" s="16" t="s">
        <v>158</v>
      </c>
      <c r="E68" s="132">
        <f>$C$13</f>
        <v>11.06695814812567</v>
      </c>
      <c r="F68" s="9" t="s">
        <v>80</v>
      </c>
      <c r="G68" s="132">
        <f>$Z$24</f>
        <v>2.9401051095629085</v>
      </c>
      <c r="L68" s="133">
        <f>SUM(L70:L101)</f>
        <v>9.566824205001298</v>
      </c>
      <c r="M68" s="9"/>
      <c r="N68" s="134">
        <f>C74</f>
        <v>9.566824205001298</v>
      </c>
      <c r="O68" s="15" t="s">
        <v>77</v>
      </c>
      <c r="S68" s="135">
        <f>SUM(S70:S101)</f>
        <v>6.411157028686005</v>
      </c>
      <c r="U68" s="61"/>
      <c r="V68" s="15" t="s">
        <v>77</v>
      </c>
      <c r="Y68" s="9"/>
      <c r="Z68" s="135">
        <f>SUM(Z70:Z101)</f>
        <v>8.029382694270298</v>
      </c>
      <c r="AA68" s="16" t="s">
        <v>158</v>
      </c>
      <c r="AB68" s="136">
        <f>C74</f>
        <v>9.566824205001298</v>
      </c>
      <c r="AC68" s="9" t="s">
        <v>77</v>
      </c>
      <c r="AG68" s="114">
        <f>SUM(AG70:AG101)</f>
        <v>5.378783570211392</v>
      </c>
      <c r="AH68" s="16" t="s">
        <v>158</v>
      </c>
      <c r="AI68" s="136">
        <f>C74</f>
        <v>9.566824205001298</v>
      </c>
      <c r="AJ68" s="18" t="s">
        <v>77</v>
      </c>
      <c r="AN68" s="114">
        <f>SUM(AN70:AN101)</f>
        <v>2.4097928351800317</v>
      </c>
      <c r="AO68" s="16" t="s">
        <v>158</v>
      </c>
      <c r="AQ68" s="16" t="s">
        <v>77</v>
      </c>
      <c r="AS68" s="17"/>
    </row>
    <row r="69" spans="2:45" ht="18" customHeight="1" thickBot="1">
      <c r="B69" s="9"/>
      <c r="C69" s="56"/>
      <c r="E69" s="54"/>
      <c r="F69" s="9"/>
      <c r="G69" s="54"/>
      <c r="L69" s="31"/>
      <c r="M69" s="9"/>
      <c r="N69" s="57"/>
      <c r="O69" s="15"/>
      <c r="S69" s="58"/>
      <c r="V69" s="9"/>
      <c r="Y69" s="9"/>
      <c r="Z69" s="58"/>
      <c r="AA69" s="9"/>
      <c r="AB69" s="62"/>
      <c r="AC69" s="9"/>
      <c r="AG69" s="59"/>
      <c r="AH69" s="16"/>
      <c r="AI69" s="54"/>
      <c r="AJ69" s="16"/>
      <c r="AN69" s="59"/>
      <c r="AO69" s="16"/>
      <c r="AQ69" s="16"/>
      <c r="AS69" s="17"/>
    </row>
    <row r="70" spans="12:44" ht="18" customHeight="1">
      <c r="L70" s="119">
        <f aca="true" t="shared" si="6" ref="L70:L101">N$68*P70</f>
        <v>0.11884387438811557</v>
      </c>
      <c r="M70" s="9"/>
      <c r="O70" s="9"/>
      <c r="P70" s="122">
        <f>'直波・民消'!I3</f>
        <v>0.012422500073324953</v>
      </c>
      <c r="S70" s="120">
        <f aca="true" t="shared" si="7" ref="S70:S101">U70*W70</f>
        <v>0.04640446775640883</v>
      </c>
      <c r="U70" s="128">
        <f aca="true" t="shared" si="8" ref="U70:U101">L70</f>
        <v>0.11884387438811557</v>
      </c>
      <c r="V70" s="9"/>
      <c r="W70" s="128">
        <f>'直波・民消'!F3</f>
        <v>0.39046579384363533</v>
      </c>
      <c r="Y70" s="9"/>
      <c r="Z70" s="120">
        <f>$AB$68*AD70</f>
        <v>0.08207327954031395</v>
      </c>
      <c r="AA70" s="9"/>
      <c r="AB70" s="60"/>
      <c r="AC70" s="9"/>
      <c r="AD70" s="138">
        <f>'直波・民消'!G3</f>
        <v>0.00857894718055006</v>
      </c>
      <c r="AG70" s="119">
        <f aca="true" t="shared" si="9" ref="AG70:AG101">$AI$68*AK70</f>
        <v>0.050651518324617235</v>
      </c>
      <c r="AH70" s="16"/>
      <c r="AJ70" s="16"/>
      <c r="AK70" s="122">
        <f>'直波・民消'!H3</f>
        <v>0.0052944966102897425</v>
      </c>
      <c r="AN70" s="119">
        <f aca="true" t="shared" si="10" ref="AN70:AN101">AP70*AR70</f>
        <v>0.009083015497520733</v>
      </c>
      <c r="AO70" s="16"/>
      <c r="AP70" s="128">
        <f aca="true" t="shared" si="11" ref="AP70:AP101">Z70</f>
        <v>0.08207327954031395</v>
      </c>
      <c r="AQ70" s="16"/>
      <c r="AR70" s="122">
        <f>'直波・民消'!E3</f>
        <v>0.1106695814812567</v>
      </c>
    </row>
    <row r="71" spans="2:44" ht="18" customHeight="1">
      <c r="B71" s="9"/>
      <c r="D71" s="9"/>
      <c r="F71" s="9"/>
      <c r="H71" s="9"/>
      <c r="L71" s="120">
        <f t="shared" si="6"/>
        <v>-0.00023187227518787465</v>
      </c>
      <c r="M71" s="9"/>
      <c r="O71" s="9"/>
      <c r="P71" s="123">
        <f>'直波・民消'!I4</f>
        <v>-2.4237120931589563E-05</v>
      </c>
      <c r="S71" s="120">
        <f t="shared" si="7"/>
        <v>-7.750832323778839E-05</v>
      </c>
      <c r="U71" s="129">
        <f t="shared" si="8"/>
        <v>-0.00023187227518787465</v>
      </c>
      <c r="V71" s="9"/>
      <c r="W71" s="129">
        <f>'直波・民消'!F4</f>
        <v>0.33427162939160027</v>
      </c>
      <c r="Y71" s="9"/>
      <c r="Z71" s="120">
        <f>$AB$68*AD71</f>
        <v>0.005596518771574957</v>
      </c>
      <c r="AA71" s="9"/>
      <c r="AB71"/>
      <c r="AC71" s="9"/>
      <c r="AD71" s="139">
        <f>'直波・民消'!G4</f>
        <v>0.0005849923288701423</v>
      </c>
      <c r="AG71" s="120">
        <f t="shared" si="9"/>
        <v>0.0023919251606121217</v>
      </c>
      <c r="AH71" s="16"/>
      <c r="AJ71" s="16"/>
      <c r="AK71" s="123">
        <f>'直波・民消'!H4</f>
        <v>0.00025002290304045543</v>
      </c>
      <c r="AN71" s="120">
        <f t="shared" si="10"/>
        <v>0.0008862548080903066</v>
      </c>
      <c r="AO71" s="16"/>
      <c r="AP71" s="129">
        <f t="shared" si="11"/>
        <v>0.005596518771574957</v>
      </c>
      <c r="AQ71" s="16"/>
      <c r="AR71" s="123">
        <f>'直波・民消'!E4</f>
        <v>0.15835823022548343</v>
      </c>
    </row>
    <row r="72" spans="2:44" ht="27.75" customHeight="1">
      <c r="B72" s="18" t="s">
        <v>46</v>
      </c>
      <c r="C72" s="15" t="s">
        <v>179</v>
      </c>
      <c r="D72" s="9" t="s">
        <v>69</v>
      </c>
      <c r="E72" s="48" t="s">
        <v>178</v>
      </c>
      <c r="G72" s="9" t="s">
        <v>180</v>
      </c>
      <c r="L72" s="120">
        <f t="shared" si="6"/>
        <v>1.0353045488265247</v>
      </c>
      <c r="M72" s="9"/>
      <c r="O72" s="9"/>
      <c r="P72" s="123">
        <f>'直波・民消'!I5</f>
        <v>0.10821820560738361</v>
      </c>
      <c r="S72" s="120">
        <f t="shared" si="7"/>
        <v>0.3719230458758315</v>
      </c>
      <c r="U72" s="129">
        <f t="shared" si="8"/>
        <v>1.0353045488265247</v>
      </c>
      <c r="V72" s="9"/>
      <c r="W72" s="129">
        <f>'直波・民消'!F5</f>
        <v>0.3592402315795783</v>
      </c>
      <c r="Y72" s="9"/>
      <c r="Z72" s="120">
        <f>$AB$68*AD72</f>
        <v>0.43399864244564035</v>
      </c>
      <c r="AA72" s="9"/>
      <c r="AB72"/>
      <c r="AC72" s="9"/>
      <c r="AD72" s="139">
        <f>'直波・民消'!G5</f>
        <v>0.04536496470989366</v>
      </c>
      <c r="AG72" s="120">
        <f t="shared" si="9"/>
        <v>0.2682373127797273</v>
      </c>
      <c r="AH72" s="16"/>
      <c r="AJ72" s="16"/>
      <c r="AK72" s="123">
        <f>'直波・民消'!H5</f>
        <v>0.028038281777927884</v>
      </c>
      <c r="AN72" s="120">
        <f t="shared" si="10"/>
        <v>0.053969606476198695</v>
      </c>
      <c r="AO72" s="16"/>
      <c r="AP72" s="129">
        <f t="shared" si="11"/>
        <v>0.43399864244564035</v>
      </c>
      <c r="AQ72" s="16"/>
      <c r="AR72" s="123">
        <f>'直波・民消'!E5</f>
        <v>0.12435432095380011</v>
      </c>
    </row>
    <row r="73" spans="12:44" ht="18" customHeight="1" thickBot="1">
      <c r="L73" s="120">
        <f t="shared" si="6"/>
        <v>0.20287402583315867</v>
      </c>
      <c r="M73" s="9"/>
      <c r="O73" s="9"/>
      <c r="P73" s="123">
        <f>'直波・民消'!I6</f>
        <v>0.02120599495568249</v>
      </c>
      <c r="S73" s="120">
        <f t="shared" si="7"/>
        <v>0.049816410991207524</v>
      </c>
      <c r="U73" s="129">
        <f t="shared" si="8"/>
        <v>0.20287402583315867</v>
      </c>
      <c r="V73" s="9"/>
      <c r="W73" s="129">
        <f>'直波・民消'!F6</f>
        <v>0.24555342058512697</v>
      </c>
      <c r="Y73" s="9"/>
      <c r="Z73" s="120">
        <f>$AB$68*AD73</f>
        <v>0.05615430074268488</v>
      </c>
      <c r="AA73" s="9"/>
      <c r="AB73"/>
      <c r="AC73" s="9"/>
      <c r="AD73" s="139">
        <f>'直波・民消'!G6</f>
        <v>0.005869690875403439</v>
      </c>
      <c r="AG73" s="120">
        <f t="shared" si="9"/>
        <v>0.02174637570169638</v>
      </c>
      <c r="AH73" s="16"/>
      <c r="AJ73" s="16"/>
      <c r="AK73" s="123">
        <f>'直波・民消'!H6</f>
        <v>0.0022731028851066285</v>
      </c>
      <c r="AN73" s="120">
        <f t="shared" si="10"/>
        <v>0.017583759641405117</v>
      </c>
      <c r="AO73" s="16"/>
      <c r="AP73" s="129">
        <f t="shared" si="11"/>
        <v>0.05615430074268488</v>
      </c>
      <c r="AQ73" s="16"/>
      <c r="AR73" s="123">
        <f>'直波・民消'!E6</f>
        <v>0.3131329107271578</v>
      </c>
    </row>
    <row r="74" spans="2:44" ht="18" customHeight="1" thickBot="1">
      <c r="B74" s="9"/>
      <c r="C74" s="114">
        <f>$E$74*$G$74</f>
        <v>9.566824205001298</v>
      </c>
      <c r="D74" s="16" t="s">
        <v>158</v>
      </c>
      <c r="E74" s="137">
        <f>$C$68</f>
        <v>14.007063257688579</v>
      </c>
      <c r="F74" s="9" t="s">
        <v>70</v>
      </c>
      <c r="G74" s="115">
        <f>'入力SHEET'!$L$25</f>
        <v>0.6829999999999999</v>
      </c>
      <c r="L74" s="120">
        <f t="shared" si="6"/>
        <v>0.02725310789687049</v>
      </c>
      <c r="M74" s="9"/>
      <c r="O74" s="9"/>
      <c r="P74" s="123">
        <f>'直波・民消'!I7</f>
        <v>0.0028487100121086413</v>
      </c>
      <c r="S74" s="120">
        <f t="shared" si="7"/>
        <v>0.00874653361315063</v>
      </c>
      <c r="U74" s="129">
        <f t="shared" si="8"/>
        <v>0.02725310789687049</v>
      </c>
      <c r="V74" s="9"/>
      <c r="W74" s="129">
        <f>'直波・民消'!F7</f>
        <v>0.3209371072924496</v>
      </c>
      <c r="Y74" s="9"/>
      <c r="Z74" s="120">
        <f aca="true" t="shared" si="12" ref="Z74:Z101">$AB$68*AD74</f>
        <v>0.028652954664049376</v>
      </c>
      <c r="AA74" s="9"/>
      <c r="AB74"/>
      <c r="AC74" s="9"/>
      <c r="AD74" s="139">
        <f>'直波・民消'!G7</f>
        <v>0.002995033048592063</v>
      </c>
      <c r="AG74" s="120">
        <f t="shared" si="9"/>
        <v>0.011038429820298408</v>
      </c>
      <c r="AH74" s="16"/>
      <c r="AJ74" s="16"/>
      <c r="AK74" s="123">
        <f>'直波・民消'!H7</f>
        <v>0.0011538238378549688</v>
      </c>
      <c r="AN74" s="120">
        <f t="shared" si="10"/>
        <v>0.00745064123658791</v>
      </c>
      <c r="AO74" s="16"/>
      <c r="AP74" s="129">
        <f t="shared" si="11"/>
        <v>0.028652954664049376</v>
      </c>
      <c r="AQ74" s="16"/>
      <c r="AR74" s="123">
        <f>'直波・民消'!E7</f>
        <v>0.2600304688973723</v>
      </c>
    </row>
    <row r="75" spans="12:44" ht="18" customHeight="1">
      <c r="L75" s="120">
        <f t="shared" si="6"/>
        <v>0.09802057092929002</v>
      </c>
      <c r="M75" s="9"/>
      <c r="O75" s="9"/>
      <c r="P75" s="123">
        <f>'直波・民消'!I8</f>
        <v>0.010245883987086049</v>
      </c>
      <c r="S75" s="120">
        <f t="shared" si="7"/>
        <v>0.01113242769454638</v>
      </c>
      <c r="U75" s="129">
        <f t="shared" si="8"/>
        <v>0.09802057092929002</v>
      </c>
      <c r="V75" s="9"/>
      <c r="W75" s="129">
        <f>'直波・民消'!F8</f>
        <v>0.11357236128095072</v>
      </c>
      <c r="Y75" s="9"/>
      <c r="Z75" s="120">
        <f t="shared" si="12"/>
        <v>0.02264103885654063</v>
      </c>
      <c r="AA75" s="9"/>
      <c r="AB75"/>
      <c r="AC75" s="9"/>
      <c r="AD75" s="139">
        <f>'直波・民消'!G8</f>
        <v>0.0023666201417921378</v>
      </c>
      <c r="AG75" s="120">
        <f t="shared" si="9"/>
        <v>0.006460131786872206</v>
      </c>
      <c r="AH75" s="16"/>
      <c r="AJ75" s="16"/>
      <c r="AK75" s="123">
        <f>'直波・民消'!H8</f>
        <v>0.0006752639798163125</v>
      </c>
      <c r="AN75" s="120">
        <f t="shared" si="10"/>
        <v>0.0023018817332353314</v>
      </c>
      <c r="AO75" s="16"/>
      <c r="AP75" s="129">
        <f t="shared" si="11"/>
        <v>0.02264103885654063</v>
      </c>
      <c r="AQ75" s="16"/>
      <c r="AR75" s="123">
        <f>'直波・民消'!E8</f>
        <v>0.10166855628050632</v>
      </c>
    </row>
    <row r="76" spans="12:44" ht="18" customHeight="1">
      <c r="L76" s="120">
        <f t="shared" si="6"/>
        <v>0.1418265277120644</v>
      </c>
      <c r="M76" s="9"/>
      <c r="O76" s="9"/>
      <c r="P76" s="123">
        <f>'直波・民消'!I9</f>
        <v>0.014824828456440226</v>
      </c>
      <c r="S76" s="120">
        <f t="shared" si="7"/>
        <v>0.007047825250885743</v>
      </c>
      <c r="U76" s="129">
        <f t="shared" si="8"/>
        <v>0.1418265277120644</v>
      </c>
      <c r="V76" s="9"/>
      <c r="W76" s="129">
        <f>'直波・民消'!F9</f>
        <v>0.04969327927984113</v>
      </c>
      <c r="Y76" s="9"/>
      <c r="Z76" s="120">
        <f t="shared" si="12"/>
        <v>0.010639931882322253</v>
      </c>
      <c r="AA76" s="9"/>
      <c r="AB76"/>
      <c r="AC76" s="9"/>
      <c r="AD76" s="139">
        <f>'直波・民消'!G9</f>
        <v>0.0011121696870691907</v>
      </c>
      <c r="AG76" s="120">
        <f t="shared" si="9"/>
        <v>0.0034650569428192183</v>
      </c>
      <c r="AH76" s="16"/>
      <c r="AJ76" s="16"/>
      <c r="AK76" s="123">
        <f>'直波・民消'!H9</f>
        <v>0.0003621951097426639</v>
      </c>
      <c r="AN76" s="120">
        <f t="shared" si="10"/>
        <v>0.001693527553892182</v>
      </c>
      <c r="AO76" s="16"/>
      <c r="AP76" s="129">
        <f t="shared" si="11"/>
        <v>0.010639931882322253</v>
      </c>
      <c r="AQ76" s="16"/>
      <c r="AR76" s="123">
        <f>'直波・民消'!E9</f>
        <v>0.1591671424801035</v>
      </c>
    </row>
    <row r="77" spans="12:44" ht="18" customHeight="1">
      <c r="L77" s="120">
        <f t="shared" si="6"/>
        <v>0.011314756272739215</v>
      </c>
      <c r="M77" s="9"/>
      <c r="O77" s="9"/>
      <c r="P77" s="123">
        <f>'直波・民消'!I10</f>
        <v>0.0011827076603774262</v>
      </c>
      <c r="S77" s="120">
        <f t="shared" si="7"/>
        <v>0.004742810186515175</v>
      </c>
      <c r="U77" s="129">
        <f t="shared" si="8"/>
        <v>0.011314756272739215</v>
      </c>
      <c r="V77" s="9"/>
      <c r="W77" s="129">
        <f>'直波・民消'!F10</f>
        <v>0.41917033581554797</v>
      </c>
      <c r="Y77" s="9"/>
      <c r="Z77" s="120">
        <f t="shared" si="12"/>
        <v>0.012231434765085931</v>
      </c>
      <c r="AA77" s="9"/>
      <c r="AB77"/>
      <c r="AC77" s="9"/>
      <c r="AD77" s="139">
        <f>'直波・民消'!G10</f>
        <v>0.001278526133959025</v>
      </c>
      <c r="AG77" s="120">
        <f t="shared" si="9"/>
        <v>0.0053672926975682845</v>
      </c>
      <c r="AH77" s="16"/>
      <c r="AJ77" s="16"/>
      <c r="AK77" s="123">
        <f>'直波・民消'!H10</f>
        <v>0.0005610318097788811</v>
      </c>
      <c r="AN77" s="120">
        <f t="shared" si="10"/>
        <v>0.0036586422923189405</v>
      </c>
      <c r="AO77" s="16"/>
      <c r="AP77" s="129">
        <f t="shared" si="11"/>
        <v>0.012231434765085931</v>
      </c>
      <c r="AQ77" s="16"/>
      <c r="AR77" s="123">
        <f>'直波・民消'!E10</f>
        <v>0.29911799903984826</v>
      </c>
    </row>
    <row r="78" spans="12:44" ht="18" customHeight="1">
      <c r="L78" s="120">
        <f t="shared" si="6"/>
        <v>-0.00041673936473376414</v>
      </c>
      <c r="M78" s="9"/>
      <c r="O78" s="9"/>
      <c r="P78" s="123">
        <f>'直波・民消'!I11</f>
        <v>-4.356088873420535E-05</v>
      </c>
      <c r="S78" s="120">
        <f t="shared" si="7"/>
        <v>-7.917311259466525E-05</v>
      </c>
      <c r="U78" s="129">
        <f t="shared" si="8"/>
        <v>-0.00041673936473376414</v>
      </c>
      <c r="V78" s="9"/>
      <c r="W78" s="129">
        <f>'直波・民消'!F11</f>
        <v>0.18998232299280238</v>
      </c>
      <c r="Y78" s="9"/>
      <c r="Z78" s="120">
        <f t="shared" si="12"/>
        <v>0.001724525366195782</v>
      </c>
      <c r="AA78" s="9"/>
      <c r="AB78"/>
      <c r="AC78" s="9"/>
      <c r="AD78" s="139">
        <f>'直波・民消'!G11</f>
        <v>0.00018026100712650734</v>
      </c>
      <c r="AG78" s="120">
        <f t="shared" si="9"/>
        <v>0.0007285939765152742</v>
      </c>
      <c r="AH78" s="16"/>
      <c r="AJ78" s="16"/>
      <c r="AK78" s="123">
        <f>'直波・民消'!H11</f>
        <v>7.615839498068578E-05</v>
      </c>
      <c r="AN78" s="120">
        <f t="shared" si="10"/>
        <v>0.00054845466258176</v>
      </c>
      <c r="AO78" s="16"/>
      <c r="AP78" s="129">
        <f t="shared" si="11"/>
        <v>0.001724525366195782</v>
      </c>
      <c r="AQ78" s="16"/>
      <c r="AR78" s="123">
        <f>'直波・民消'!E11</f>
        <v>0.3180322385118776</v>
      </c>
    </row>
    <row r="79" spans="12:44" ht="18" customHeight="1">
      <c r="L79" s="120">
        <f t="shared" si="6"/>
        <v>0.002705491549341152</v>
      </c>
      <c r="M79" s="9"/>
      <c r="O79" s="9"/>
      <c r="P79" s="123">
        <f>'直波・民消'!I12</f>
        <v>0.0002827993377286883</v>
      </c>
      <c r="S79" s="120">
        <f t="shared" si="7"/>
        <v>0.0002335181559423899</v>
      </c>
      <c r="U79" s="129">
        <f t="shared" si="8"/>
        <v>0.002705491549341152</v>
      </c>
      <c r="V79" s="9"/>
      <c r="W79" s="129">
        <f>'直波・民消'!F12</f>
        <v>0.08631265397936905</v>
      </c>
      <c r="Y79" s="9"/>
      <c r="Z79" s="120">
        <f t="shared" si="12"/>
        <v>0.0007880040303138918</v>
      </c>
      <c r="AA79" s="9"/>
      <c r="AB79"/>
      <c r="AC79" s="9"/>
      <c r="AD79" s="139">
        <f>'直波・民消'!G12</f>
        <v>8.236840287103247E-05</v>
      </c>
      <c r="AG79" s="120">
        <f t="shared" si="9"/>
        <v>0.00029484053543705915</v>
      </c>
      <c r="AH79" s="16"/>
      <c r="AJ79" s="16"/>
      <c r="AK79" s="123">
        <f>'直波・民消'!H12</f>
        <v>3.081906065368316E-05</v>
      </c>
      <c r="AN79" s="120">
        <f t="shared" si="10"/>
        <v>0.00020279213060411463</v>
      </c>
      <c r="AO79" s="16"/>
      <c r="AP79" s="129">
        <f t="shared" si="11"/>
        <v>0.0007880040303138918</v>
      </c>
      <c r="AQ79" s="16"/>
      <c r="AR79" s="123">
        <f>'直波・民消'!E12</f>
        <v>0.2573491033076758</v>
      </c>
    </row>
    <row r="80" spans="12:44" ht="18" customHeight="1">
      <c r="L80" s="120">
        <f t="shared" si="6"/>
        <v>0.014579512562941413</v>
      </c>
      <c r="M80" s="9"/>
      <c r="O80" s="9"/>
      <c r="P80" s="123">
        <f>'直波・民消'!I13</f>
        <v>0.00152396576445082</v>
      </c>
      <c r="S80" s="120">
        <f t="shared" si="7"/>
        <v>0.003351483178945872</v>
      </c>
      <c r="U80" s="129">
        <f t="shared" si="8"/>
        <v>0.014579512562941413</v>
      </c>
      <c r="V80" s="9"/>
      <c r="W80" s="129">
        <f>'直波・民消'!F13</f>
        <v>0.22987621598987884</v>
      </c>
      <c r="Y80" s="9"/>
      <c r="Z80" s="120">
        <f t="shared" si="12"/>
        <v>0.008814259650152005</v>
      </c>
      <c r="AA80" s="9"/>
      <c r="AB80"/>
      <c r="AC80" s="9"/>
      <c r="AD80" s="139">
        <f>'直波・民消'!G13</f>
        <v>0.0009213360109140636</v>
      </c>
      <c r="AG80" s="120">
        <f t="shared" si="9"/>
        <v>0.004338331569814131</v>
      </c>
      <c r="AH80" s="16"/>
      <c r="AJ80" s="16"/>
      <c r="AK80" s="123">
        <f>'直波・民消'!H13</f>
        <v>0.00045347666862595416</v>
      </c>
      <c r="AN80" s="120">
        <f t="shared" si="10"/>
        <v>0.003233147253546263</v>
      </c>
      <c r="AO80" s="16"/>
      <c r="AP80" s="129">
        <f t="shared" si="11"/>
        <v>0.008814259650152005</v>
      </c>
      <c r="AQ80" s="16"/>
      <c r="AR80" s="123">
        <f>'直波・民消'!E13</f>
        <v>0.3668087147274481</v>
      </c>
    </row>
    <row r="81" spans="12:44" ht="18" customHeight="1">
      <c r="L81" s="120">
        <f t="shared" si="6"/>
        <v>0.0024904104554141675</v>
      </c>
      <c r="M81" s="9"/>
      <c r="O81" s="9"/>
      <c r="P81" s="123">
        <f>'直波・民消'!I14</f>
        <v>0.000260317363635912</v>
      </c>
      <c r="S81" s="120">
        <f t="shared" si="7"/>
        <v>0.0005462145881961072</v>
      </c>
      <c r="U81" s="129">
        <f t="shared" si="8"/>
        <v>0.0024904104554141675</v>
      </c>
      <c r="V81" s="9"/>
      <c r="W81" s="129">
        <f>'直波・民消'!F14</f>
        <v>0.21932713421140415</v>
      </c>
      <c r="Y81" s="9"/>
      <c r="Z81" s="120">
        <f t="shared" si="12"/>
        <v>0.003624253611400455</v>
      </c>
      <c r="AA81" s="9"/>
      <c r="AB81"/>
      <c r="AC81" s="9"/>
      <c r="AD81" s="139">
        <f>'直波・民消'!G14</f>
        <v>0.0003788356024673042</v>
      </c>
      <c r="AG81" s="120">
        <f t="shared" si="9"/>
        <v>0.0013833581899858323</v>
      </c>
      <c r="AH81" s="16"/>
      <c r="AJ81" s="16"/>
      <c r="AK81" s="123">
        <f>'直波・民消'!H14</f>
        <v>0.00014459952021096478</v>
      </c>
      <c r="AN81" s="120">
        <f t="shared" si="10"/>
        <v>0.0009245413204899295</v>
      </c>
      <c r="AO81" s="16"/>
      <c r="AP81" s="129">
        <f t="shared" si="11"/>
        <v>0.003624253611400455</v>
      </c>
      <c r="AQ81" s="16"/>
      <c r="AR81" s="123">
        <f>'直波・民消'!E14</f>
        <v>0.2550984063537087</v>
      </c>
    </row>
    <row r="82" spans="12:44" ht="18" customHeight="1">
      <c r="L82" s="120">
        <f t="shared" si="6"/>
        <v>0.26367354556085637</v>
      </c>
      <c r="M82" s="9"/>
      <c r="O82" s="9"/>
      <c r="P82" s="123">
        <f>'直波・民消'!I15</f>
        <v>0.027561240795353423</v>
      </c>
      <c r="S82" s="120">
        <f t="shared" si="7"/>
        <v>0.054222436249777836</v>
      </c>
      <c r="U82" s="129">
        <f t="shared" si="8"/>
        <v>0.26367354556085637</v>
      </c>
      <c r="V82" s="9"/>
      <c r="W82" s="129">
        <f>'直波・民消'!F15</f>
        <v>0.2056423071736</v>
      </c>
      <c r="Y82" s="9"/>
      <c r="Z82" s="120">
        <f t="shared" si="12"/>
        <v>0.062413486983518986</v>
      </c>
      <c r="AA82" s="9"/>
      <c r="AB82"/>
      <c r="AC82" s="9"/>
      <c r="AD82" s="139">
        <f>'直波・民消'!G15</f>
        <v>0.006523950440198406</v>
      </c>
      <c r="AG82" s="120">
        <f t="shared" si="9"/>
        <v>0.014219730526892554</v>
      </c>
      <c r="AH82" s="16"/>
      <c r="AJ82" s="16"/>
      <c r="AK82" s="123">
        <f>'直波・民消'!H15</f>
        <v>0.0014863585054127818</v>
      </c>
      <c r="AN82" s="120">
        <f t="shared" si="10"/>
        <v>0.010012462369810318</v>
      </c>
      <c r="AO82" s="16"/>
      <c r="AP82" s="129">
        <f t="shared" si="11"/>
        <v>0.062413486983518986</v>
      </c>
      <c r="AQ82" s="16"/>
      <c r="AR82" s="123">
        <f>'直波・民消'!E15</f>
        <v>0.16042145462012442</v>
      </c>
    </row>
    <row r="83" spans="12:44" ht="18" customHeight="1">
      <c r="L83" s="120">
        <f t="shared" si="6"/>
        <v>0.1724388616740684</v>
      </c>
      <c r="M83" s="9"/>
      <c r="O83" s="9"/>
      <c r="P83" s="123">
        <f>'直波・民消'!I16</f>
        <v>0.018024671299376616</v>
      </c>
      <c r="S83" s="120">
        <f t="shared" si="7"/>
        <v>0.02651674475310541</v>
      </c>
      <c r="U83" s="129">
        <f t="shared" si="8"/>
        <v>0.1724388616740684</v>
      </c>
      <c r="V83" s="9"/>
      <c r="W83" s="129">
        <f>'直波・民消'!F16</f>
        <v>0.15377476106995802</v>
      </c>
      <c r="Y83" s="9"/>
      <c r="Z83" s="120">
        <f t="shared" si="12"/>
        <v>0.031236044954605323</v>
      </c>
      <c r="AA83" s="9"/>
      <c r="AB83"/>
      <c r="AC83" s="9"/>
      <c r="AD83" s="139">
        <f>'直波・民消'!G16</f>
        <v>0.0032650380403431993</v>
      </c>
      <c r="AG83" s="120">
        <f t="shared" si="9"/>
        <v>0.010334473771864292</v>
      </c>
      <c r="AH83" s="16"/>
      <c r="AJ83" s="16"/>
      <c r="AK83" s="123">
        <f>'直波・民消'!H16</f>
        <v>0.0010802407936441108</v>
      </c>
      <c r="AN83" s="120">
        <f t="shared" si="10"/>
        <v>0.007121321425047738</v>
      </c>
      <c r="AO83" s="16"/>
      <c r="AP83" s="129">
        <f t="shared" si="11"/>
        <v>0.031236044954605323</v>
      </c>
      <c r="AQ83" s="16"/>
      <c r="AR83" s="123">
        <f>'直波・民消'!E16</f>
        <v>0.22798409450994844</v>
      </c>
    </row>
    <row r="84" spans="12:44" ht="18" customHeight="1">
      <c r="L84" s="120">
        <f t="shared" si="6"/>
        <v>0.03275726978497239</v>
      </c>
      <c r="M84" s="9"/>
      <c r="O84" s="9"/>
      <c r="P84" s="123">
        <f>'直波・民消'!I17</f>
        <v>0.0034240484703218135</v>
      </c>
      <c r="S84" s="120">
        <f t="shared" si="7"/>
        <v>0.0008552888096946363</v>
      </c>
      <c r="U84" s="129">
        <f t="shared" si="8"/>
        <v>0.03275726978497239</v>
      </c>
      <c r="V84" s="9"/>
      <c r="W84" s="129">
        <f>'直波・民消'!F17</f>
        <v>0.02610989301944222</v>
      </c>
      <c r="Y84" s="9"/>
      <c r="Z84" s="120">
        <f t="shared" si="12"/>
        <v>0.0009810877948304543</v>
      </c>
      <c r="AA84" s="9"/>
      <c r="AB84"/>
      <c r="AC84" s="9"/>
      <c r="AD84" s="139">
        <f>'直波・民消'!G17</f>
        <v>0.00010255104241568127</v>
      </c>
      <c r="AG84" s="120">
        <f t="shared" si="9"/>
        <v>0.00043578022812309336</v>
      </c>
      <c r="AH84" s="16"/>
      <c r="AJ84" s="16"/>
      <c r="AK84" s="123">
        <f>'直波・民消'!H17</f>
        <v>4.5551190111267886E-05</v>
      </c>
      <c r="AN84" s="120">
        <f t="shared" si="10"/>
        <v>0.00029046077277939037</v>
      </c>
      <c r="AO84" s="16"/>
      <c r="AP84" s="129">
        <f t="shared" si="11"/>
        <v>0.0009810877948304543</v>
      </c>
      <c r="AQ84" s="16"/>
      <c r="AR84" s="123">
        <f>'直波・民消'!E17</f>
        <v>0.2960599187044071</v>
      </c>
    </row>
    <row r="85" spans="12:44" ht="18" customHeight="1">
      <c r="L85" s="120">
        <f t="shared" si="6"/>
        <v>0.19377478503497333</v>
      </c>
      <c r="M85" s="9"/>
      <c r="O85" s="9"/>
      <c r="P85" s="123">
        <f>'直波・民消'!I18</f>
        <v>0.020254870465130182</v>
      </c>
      <c r="S85" s="120">
        <f t="shared" si="7"/>
        <v>0.05139376590944234</v>
      </c>
      <c r="U85" s="129">
        <f t="shared" si="8"/>
        <v>0.19377478503497333</v>
      </c>
      <c r="V85" s="9"/>
      <c r="W85" s="129">
        <f>'直波・民消'!F18</f>
        <v>0.26522421841503563</v>
      </c>
      <c r="Y85" s="9"/>
      <c r="Z85" s="120">
        <f t="shared" si="12"/>
        <v>0.08550597097954937</v>
      </c>
      <c r="AA85" s="9"/>
      <c r="AB85"/>
      <c r="AC85" s="9"/>
      <c r="AD85" s="139">
        <f>'直波・民消'!G18</f>
        <v>0.008937759192318907</v>
      </c>
      <c r="AG85" s="120">
        <f t="shared" si="9"/>
        <v>0.03761318788927496</v>
      </c>
      <c r="AH85" s="16"/>
      <c r="AJ85" s="16"/>
      <c r="AK85" s="123">
        <f>'直波・民消'!H18</f>
        <v>0.003931627370095472</v>
      </c>
      <c r="AN85" s="120">
        <f t="shared" si="10"/>
        <v>0.024345506272451658</v>
      </c>
      <c r="AO85" s="16"/>
      <c r="AP85" s="129">
        <f t="shared" si="11"/>
        <v>0.08550597097954937</v>
      </c>
      <c r="AQ85" s="16"/>
      <c r="AR85" s="123">
        <f>'直波・民消'!E18</f>
        <v>0.2847228795083143</v>
      </c>
    </row>
    <row r="86" spans="12:44" ht="18" customHeight="1">
      <c r="L86" s="120">
        <f t="shared" si="6"/>
        <v>0</v>
      </c>
      <c r="M86" s="9"/>
      <c r="O86" s="9"/>
      <c r="P86" s="123">
        <f>'直波・民消'!I19</f>
        <v>0</v>
      </c>
      <c r="S86" s="120">
        <f t="shared" si="7"/>
        <v>0</v>
      </c>
      <c r="U86" s="129">
        <f t="shared" si="8"/>
        <v>0</v>
      </c>
      <c r="V86" s="9"/>
      <c r="W86" s="129">
        <f>'直波・民消'!F19</f>
        <v>0.9997819782085136</v>
      </c>
      <c r="Y86" s="9"/>
      <c r="Z86" s="120">
        <f t="shared" si="12"/>
        <v>0.11331632533693958</v>
      </c>
      <c r="AA86" s="9"/>
      <c r="AB86"/>
      <c r="AC86" s="9"/>
      <c r="AD86" s="139">
        <f>'直波・民消'!G19</f>
        <v>0.011844717004175808</v>
      </c>
      <c r="AG86" s="120">
        <f t="shared" si="9"/>
        <v>0.054345534957433904</v>
      </c>
      <c r="AH86" s="16"/>
      <c r="AJ86" s="16"/>
      <c r="AK86" s="123">
        <f>'直波・民消'!H19</f>
        <v>0.00568062439456381</v>
      </c>
      <c r="AN86" s="120">
        <f t="shared" si="10"/>
        <v>0.03977005654998599</v>
      </c>
      <c r="AO86" s="16"/>
      <c r="AP86" s="129">
        <f t="shared" si="11"/>
        <v>0.11331632533693958</v>
      </c>
      <c r="AQ86" s="16"/>
      <c r="AR86" s="123">
        <f>'直波・民消'!E19</f>
        <v>0.3509649331791515</v>
      </c>
    </row>
    <row r="87" spans="12:44" ht="18" customHeight="1">
      <c r="L87" s="120">
        <f t="shared" si="6"/>
        <v>0.20882888451434264</v>
      </c>
      <c r="M87" s="9"/>
      <c r="O87" s="9"/>
      <c r="P87" s="123">
        <f>'直波・民消'!I20</f>
        <v>0.021828443801148983</v>
      </c>
      <c r="S87" s="120">
        <f t="shared" si="7"/>
        <v>0.09622680109435944</v>
      </c>
      <c r="U87" s="129">
        <f t="shared" si="8"/>
        <v>0.20882888451434264</v>
      </c>
      <c r="V87" s="9"/>
      <c r="W87" s="129">
        <f>'直波・民消'!F20</f>
        <v>0.46079258297120507</v>
      </c>
      <c r="Y87" s="9"/>
      <c r="Z87" s="120">
        <f t="shared" si="12"/>
        <v>0.14157536856672095</v>
      </c>
      <c r="AA87" s="9"/>
      <c r="AB87"/>
      <c r="AC87" s="9"/>
      <c r="AD87" s="139">
        <f>'直波・民消'!G20</f>
        <v>0.014798575319562041</v>
      </c>
      <c r="AG87" s="120">
        <f t="shared" si="9"/>
        <v>0.07824947120852921</v>
      </c>
      <c r="AH87" s="16"/>
      <c r="AJ87" s="16"/>
      <c r="AK87" s="123">
        <f>'直波・民消'!H20</f>
        <v>0.008179252543139899</v>
      </c>
      <c r="AN87" s="120">
        <f t="shared" si="10"/>
        <v>0.014021113568716784</v>
      </c>
      <c r="AO87" s="16"/>
      <c r="AP87" s="129">
        <f t="shared" si="11"/>
        <v>0.14157536856672095</v>
      </c>
      <c r="AQ87" s="16"/>
      <c r="AR87" s="123">
        <f>'直波・民消'!E20</f>
        <v>0.09903639108033811</v>
      </c>
    </row>
    <row r="88" spans="12:44" ht="18" customHeight="1">
      <c r="L88" s="120">
        <f t="shared" si="6"/>
        <v>0.07220396257213353</v>
      </c>
      <c r="M88" s="9"/>
      <c r="O88" s="9"/>
      <c r="P88" s="123">
        <f>'直波・民消'!I21</f>
        <v>0.007547328248635226</v>
      </c>
      <c r="S88" s="120">
        <f t="shared" si="7"/>
        <v>0.05614670586537675</v>
      </c>
      <c r="U88" s="129">
        <f t="shared" si="8"/>
        <v>0.07220396257213353</v>
      </c>
      <c r="V88" s="9"/>
      <c r="W88" s="129">
        <f>'直波・民消'!F21</f>
        <v>0.7776125279728908</v>
      </c>
      <c r="Y88" s="9"/>
      <c r="Z88" s="120">
        <f t="shared" si="12"/>
        <v>0.1027060843951513</v>
      </c>
      <c r="AA88" s="9"/>
      <c r="AB88"/>
      <c r="AC88" s="9"/>
      <c r="AD88" s="139">
        <f>'直波・民消'!G21</f>
        <v>0.010735650848633668</v>
      </c>
      <c r="AG88" s="120">
        <f t="shared" si="9"/>
        <v>0.06654693304234759</v>
      </c>
      <c r="AH88" s="16"/>
      <c r="AJ88" s="16"/>
      <c r="AK88" s="123">
        <f>'直波・民消'!H21</f>
        <v>0.006956010857559033</v>
      </c>
      <c r="AN88" s="120">
        <f t="shared" si="10"/>
        <v>0.03420336711416856</v>
      </c>
      <c r="AO88" s="16"/>
      <c r="AP88" s="129">
        <f t="shared" si="11"/>
        <v>0.1027060843951513</v>
      </c>
      <c r="AQ88" s="16"/>
      <c r="AR88" s="123">
        <f>'直波・民消'!E21</f>
        <v>0.33302181964774896</v>
      </c>
    </row>
    <row r="89" spans="12:44" ht="18" customHeight="1">
      <c r="L89" s="120">
        <f t="shared" si="6"/>
        <v>1.5944377243800456</v>
      </c>
      <c r="M89" s="9"/>
      <c r="O89" s="9"/>
      <c r="P89" s="123">
        <f>'直波・民消'!I22</f>
        <v>0.1666632197073835</v>
      </c>
      <c r="S89" s="120">
        <f t="shared" si="7"/>
        <v>0.9135667528088649</v>
      </c>
      <c r="U89" s="129">
        <f t="shared" si="8"/>
        <v>1.5944377243800456</v>
      </c>
      <c r="V89" s="9"/>
      <c r="W89" s="129">
        <f>'直波・民消'!F22</f>
        <v>0.5729711100281956</v>
      </c>
      <c r="Y89" s="9"/>
      <c r="Z89" s="120">
        <f t="shared" si="12"/>
        <v>1.038291335590476</v>
      </c>
      <c r="AA89" s="9"/>
      <c r="AB89"/>
      <c r="AC89" s="9"/>
      <c r="AD89" s="139">
        <f>'直波・民消'!G22</f>
        <v>0.10853040814188715</v>
      </c>
      <c r="AG89" s="120">
        <f t="shared" si="9"/>
        <v>0.7373849158542461</v>
      </c>
      <c r="AH89" s="16"/>
      <c r="AJ89" s="16"/>
      <c r="AK89" s="123">
        <f>'直波・民消'!H22</f>
        <v>0.07707729336855167</v>
      </c>
      <c r="AN89" s="120">
        <f t="shared" si="10"/>
        <v>0.513533219570635</v>
      </c>
      <c r="AO89" s="16"/>
      <c r="AP89" s="129">
        <f t="shared" si="11"/>
        <v>1.038291335590476</v>
      </c>
      <c r="AQ89" s="16"/>
      <c r="AR89" s="123">
        <f>'直波・民消'!E22</f>
        <v>0.49459453427740385</v>
      </c>
    </row>
    <row r="90" spans="12:44" ht="18" customHeight="1">
      <c r="L90" s="120">
        <f t="shared" si="6"/>
        <v>0.36458593126660477</v>
      </c>
      <c r="M90" s="9"/>
      <c r="O90" s="9"/>
      <c r="P90" s="123">
        <f>'直波・民消'!I23</f>
        <v>0.03810940009496655</v>
      </c>
      <c r="S90" s="120">
        <f t="shared" si="7"/>
        <v>0.31690312733237475</v>
      </c>
      <c r="U90" s="129">
        <f t="shared" si="8"/>
        <v>0.36458593126660477</v>
      </c>
      <c r="V90" s="9"/>
      <c r="W90" s="129">
        <f>'直波・民消'!F23</f>
        <v>0.8692138125885011</v>
      </c>
      <c r="Y90" s="9"/>
      <c r="Z90" s="120">
        <f t="shared" si="12"/>
        <v>0.5844760074564397</v>
      </c>
      <c r="AA90" s="9"/>
      <c r="AB90"/>
      <c r="AC90" s="9"/>
      <c r="AD90" s="139">
        <f>'直波・民消'!G23</f>
        <v>0.061094046982789765</v>
      </c>
      <c r="AG90" s="120">
        <f t="shared" si="9"/>
        <v>0.3986607737127511</v>
      </c>
      <c r="AH90" s="16"/>
      <c r="AJ90" s="16"/>
      <c r="AK90" s="123">
        <f>'直波・民消'!H23</f>
        <v>0.041671171662623546</v>
      </c>
      <c r="AN90" s="120">
        <f t="shared" si="10"/>
        <v>0.19261869448163627</v>
      </c>
      <c r="AO90" s="16"/>
      <c r="AP90" s="129">
        <f t="shared" si="11"/>
        <v>0.5844760074564397</v>
      </c>
      <c r="AQ90" s="16"/>
      <c r="AR90" s="123">
        <f>'直波・民消'!E23</f>
        <v>0.32955791516556293</v>
      </c>
    </row>
    <row r="91" spans="12:44" ht="18" customHeight="1">
      <c r="L91" s="120">
        <f t="shared" si="6"/>
        <v>1.57380039969388</v>
      </c>
      <c r="M91" s="9"/>
      <c r="O91" s="9"/>
      <c r="P91" s="123">
        <f>'直波・民消'!I24</f>
        <v>0.16450604359084348</v>
      </c>
      <c r="S91" s="120">
        <f t="shared" si="7"/>
        <v>1.5321209038926935</v>
      </c>
      <c r="U91" s="129">
        <f t="shared" si="8"/>
        <v>1.57380039969388</v>
      </c>
      <c r="V91" s="9"/>
      <c r="W91" s="129">
        <f>'直波・民消'!F24</f>
        <v>0.9735166569983756</v>
      </c>
      <c r="Y91" s="9"/>
      <c r="Z91" s="120">
        <f t="shared" si="12"/>
        <v>1.6293483006071208</v>
      </c>
      <c r="AA91" s="9"/>
      <c r="AB91"/>
      <c r="AC91" s="9"/>
      <c r="AD91" s="139">
        <f>'直波・民消'!G24</f>
        <v>0.17031234876829218</v>
      </c>
      <c r="AG91" s="120">
        <f t="shared" si="9"/>
        <v>1.4125869669037856</v>
      </c>
      <c r="AH91" s="16"/>
      <c r="AJ91" s="16"/>
      <c r="AK91" s="123">
        <f>'直波・民消'!H24</f>
        <v>0.1476547427478933</v>
      </c>
      <c r="AN91" s="120">
        <f t="shared" si="10"/>
        <v>0.05373662151855416</v>
      </c>
      <c r="AO91" s="16"/>
      <c r="AP91" s="129">
        <f t="shared" si="11"/>
        <v>1.6293483006071208</v>
      </c>
      <c r="AQ91" s="16"/>
      <c r="AR91" s="123">
        <f>'直波・民消'!E24</f>
        <v>0.03298043855849057</v>
      </c>
    </row>
    <row r="92" spans="12:44" ht="18" customHeight="1">
      <c r="L92" s="120">
        <f t="shared" si="6"/>
        <v>0.510427041229813</v>
      </c>
      <c r="M92" s="9"/>
      <c r="O92" s="9"/>
      <c r="P92" s="123">
        <f>'直波・民消'!I25</f>
        <v>0.05335386438510853</v>
      </c>
      <c r="S92" s="120">
        <f t="shared" si="7"/>
        <v>0.3672637707866932</v>
      </c>
      <c r="U92" s="129">
        <f t="shared" si="8"/>
        <v>0.510427041229813</v>
      </c>
      <c r="V92" s="9"/>
      <c r="W92" s="129">
        <f>'直波・民消'!F25</f>
        <v>0.7195225588005977</v>
      </c>
      <c r="Y92" s="9"/>
      <c r="Z92" s="120">
        <f t="shared" si="12"/>
        <v>0.4733073683691357</v>
      </c>
      <c r="AA92" s="9"/>
      <c r="AB92"/>
      <c r="AC92" s="9"/>
      <c r="AD92" s="139">
        <f>'直波・民消'!G25</f>
        <v>0.04947382310231041</v>
      </c>
      <c r="AG92" s="120">
        <f t="shared" si="9"/>
        <v>0.3028578009388321</v>
      </c>
      <c r="AH92" s="16"/>
      <c r="AJ92" s="16"/>
      <c r="AK92" s="123">
        <f>'直波・民消'!H25</f>
        <v>0.03165708854360526</v>
      </c>
      <c r="AN92" s="120">
        <f t="shared" si="10"/>
        <v>0.21687712100399587</v>
      </c>
      <c r="AO92" s="16"/>
      <c r="AP92" s="129">
        <f t="shared" si="11"/>
        <v>0.4733073683691357</v>
      </c>
      <c r="AQ92" s="16"/>
      <c r="AR92" s="123">
        <f>'直波・民消'!E25</f>
        <v>0.458216236420076</v>
      </c>
    </row>
    <row r="93" spans="12:44" ht="18" customHeight="1">
      <c r="L93" s="120">
        <f t="shared" si="6"/>
        <v>0.31945392943610634</v>
      </c>
      <c r="M93" s="9"/>
      <c r="O93" s="9"/>
      <c r="P93" s="123">
        <f>'直波・民消'!I26</f>
        <v>0.03339184692754193</v>
      </c>
      <c r="S93" s="120">
        <f t="shared" si="7"/>
        <v>0.23546524071247538</v>
      </c>
      <c r="U93" s="129">
        <f t="shared" si="8"/>
        <v>0.31945392943610634</v>
      </c>
      <c r="V93" s="9"/>
      <c r="W93" s="129">
        <f>'直波・民消'!F26</f>
        <v>0.7370866939345961</v>
      </c>
      <c r="Y93" s="9"/>
      <c r="Z93" s="120">
        <f t="shared" si="12"/>
        <v>0.33957460602691286</v>
      </c>
      <c r="AA93" s="9"/>
      <c r="AB93"/>
      <c r="AC93" s="9"/>
      <c r="AD93" s="139">
        <f>'直波・民消'!G26</f>
        <v>0.035495018906001395</v>
      </c>
      <c r="AG93" s="120">
        <f t="shared" si="9"/>
        <v>0.1923234397709252</v>
      </c>
      <c r="AH93" s="16"/>
      <c r="AJ93" s="16"/>
      <c r="AK93" s="123">
        <f>'直波・民消'!H26</f>
        <v>0.020103164399151736</v>
      </c>
      <c r="AN93" s="120">
        <f t="shared" si="10"/>
        <v>0.08653468647326844</v>
      </c>
      <c r="AO93" s="16"/>
      <c r="AP93" s="129">
        <f t="shared" si="11"/>
        <v>0.33957460602691286</v>
      </c>
      <c r="AQ93" s="16"/>
      <c r="AR93" s="123">
        <f>'直波・民消'!E26</f>
        <v>0.25483261980552857</v>
      </c>
    </row>
    <row r="94" spans="12:44" ht="18" customHeight="1">
      <c r="L94" s="120">
        <f t="shared" si="6"/>
        <v>0.035777061865956875</v>
      </c>
      <c r="M94" s="9"/>
      <c r="O94" s="9"/>
      <c r="P94" s="123">
        <f>'直波・民消'!I27</f>
        <v>0.0037397009811525033</v>
      </c>
      <c r="S94" s="120">
        <f t="shared" si="7"/>
        <v>0.035777061865956875</v>
      </c>
      <c r="U94" s="129">
        <f t="shared" si="8"/>
        <v>0.035777061865956875</v>
      </c>
      <c r="V94" s="9"/>
      <c r="W94" s="129">
        <f>'直波・民消'!F27</f>
        <v>1</v>
      </c>
      <c r="Y94" s="9"/>
      <c r="Z94" s="120">
        <f t="shared" si="12"/>
        <v>0.040913314230918214</v>
      </c>
      <c r="AA94" s="9"/>
      <c r="AB94"/>
      <c r="AC94" s="9"/>
      <c r="AD94" s="139">
        <f>'直波・民消'!G27</f>
        <v>0.00427658263120689</v>
      </c>
      <c r="AG94" s="120">
        <f t="shared" si="9"/>
        <v>0.026047166569224657</v>
      </c>
      <c r="AH94" s="16"/>
      <c r="AJ94" s="16"/>
      <c r="AK94" s="123">
        <f>'直波・民消'!H27</f>
        <v>0.002722655503130061</v>
      </c>
      <c r="AN94" s="120">
        <f t="shared" si="10"/>
        <v>0.02502145439228779</v>
      </c>
      <c r="AO94" s="16"/>
      <c r="AP94" s="129">
        <f t="shared" si="11"/>
        <v>0.040913314230918214</v>
      </c>
      <c r="AQ94" s="16"/>
      <c r="AR94" s="123">
        <f>'直波・民消'!E27</f>
        <v>0.611572415059425</v>
      </c>
    </row>
    <row r="95" spans="12:44" ht="18" customHeight="1">
      <c r="L95" s="120">
        <f t="shared" si="6"/>
        <v>0.2944277600929249</v>
      </c>
      <c r="M95" s="9"/>
      <c r="O95" s="9"/>
      <c r="P95" s="123">
        <f>'直波・民消'!I28</f>
        <v>0.030775914115679617</v>
      </c>
      <c r="S95" s="120">
        <f t="shared" si="7"/>
        <v>0.2839162814043586</v>
      </c>
      <c r="U95" s="129">
        <f t="shared" si="8"/>
        <v>0.2944277600929249</v>
      </c>
      <c r="V95" s="9"/>
      <c r="W95" s="129">
        <f>'直波・民消'!F28</f>
        <v>0.9642986154388136</v>
      </c>
      <c r="Y95" s="9"/>
      <c r="Z95" s="120">
        <f t="shared" si="12"/>
        <v>0.30762071482581105</v>
      </c>
      <c r="AA95" s="9"/>
      <c r="AB95"/>
      <c r="AC95" s="9"/>
      <c r="AD95" s="139">
        <f>'直波・民消'!G28</f>
        <v>0.032154945908276916</v>
      </c>
      <c r="AG95" s="120">
        <f t="shared" si="9"/>
        <v>0.24351713746799214</v>
      </c>
      <c r="AH95" s="16"/>
      <c r="AJ95" s="16"/>
      <c r="AK95" s="123">
        <f>'直波・民消'!H28</f>
        <v>0.025454333878183674</v>
      </c>
      <c r="AN95" s="120">
        <f t="shared" si="10"/>
        <v>0.22410707500480015</v>
      </c>
      <c r="AO95" s="16"/>
      <c r="AP95" s="129">
        <f t="shared" si="11"/>
        <v>0.30762071482581105</v>
      </c>
      <c r="AQ95" s="16"/>
      <c r="AR95" s="123">
        <f>'直波・民消'!E28</f>
        <v>0.7285175028986584</v>
      </c>
    </row>
    <row r="96" spans="12:44" ht="18" customHeight="1">
      <c r="L96" s="120">
        <f t="shared" si="6"/>
        <v>0.3917085018373962</v>
      </c>
      <c r="M96" s="9"/>
      <c r="O96" s="9"/>
      <c r="P96" s="123">
        <f>'直波・民消'!I29</f>
        <v>0.04094446531510642</v>
      </c>
      <c r="S96" s="120">
        <f t="shared" si="7"/>
        <v>0.3867739062594614</v>
      </c>
      <c r="U96" s="129">
        <f t="shared" si="8"/>
        <v>0.3917085018373962</v>
      </c>
      <c r="V96" s="9"/>
      <c r="W96" s="129">
        <f>'直波・民消'!F29</f>
        <v>0.9874023781592997</v>
      </c>
      <c r="Y96" s="9"/>
      <c r="Z96" s="120">
        <f t="shared" si="12"/>
        <v>0.3936701528206132</v>
      </c>
      <c r="AA96" s="9"/>
      <c r="AB96"/>
      <c r="AC96" s="9"/>
      <c r="AD96" s="139">
        <f>'直波・民消'!G29</f>
        <v>0.04114951256393028</v>
      </c>
      <c r="AG96" s="120">
        <f t="shared" si="9"/>
        <v>0.23755932272645552</v>
      </c>
      <c r="AH96" s="16"/>
      <c r="AJ96" s="16"/>
      <c r="AK96" s="123">
        <f>'直波・民消'!H29</f>
        <v>0.024831576041949785</v>
      </c>
      <c r="AN96" s="120">
        <f t="shared" si="10"/>
        <v>0.19762282460362418</v>
      </c>
      <c r="AO96" s="16"/>
      <c r="AP96" s="129">
        <f t="shared" si="11"/>
        <v>0.3936701528206132</v>
      </c>
      <c r="AQ96" s="16"/>
      <c r="AR96" s="123">
        <f>'直波・民消'!E29</f>
        <v>0.50200103611532</v>
      </c>
    </row>
    <row r="97" spans="12:44" ht="18" customHeight="1">
      <c r="L97" s="120">
        <f t="shared" si="6"/>
        <v>0.13723908616938935</v>
      </c>
      <c r="M97" s="9"/>
      <c r="O97" s="9"/>
      <c r="P97" s="123">
        <f>'直波・民消'!I30</f>
        <v>0.014345312846623038</v>
      </c>
      <c r="S97" s="120">
        <f t="shared" si="7"/>
        <v>0.1345683110550606</v>
      </c>
      <c r="U97" s="129">
        <f t="shared" si="8"/>
        <v>0.13723908616938935</v>
      </c>
      <c r="V97" s="9"/>
      <c r="W97" s="129">
        <f>'直波・民消'!F30</f>
        <v>0.9805392531466414</v>
      </c>
      <c r="Y97" s="9"/>
      <c r="Z97" s="120">
        <f t="shared" si="12"/>
        <v>0.1446586222515145</v>
      </c>
      <c r="AA97" s="9"/>
      <c r="AB97"/>
      <c r="AC97" s="9"/>
      <c r="AD97" s="139">
        <f>'直波・民消'!G30</f>
        <v>0.015120861338278857</v>
      </c>
      <c r="AG97" s="120">
        <f t="shared" si="9"/>
        <v>0.0984848166439319</v>
      </c>
      <c r="AH97" s="16"/>
      <c r="AJ97" s="16"/>
      <c r="AK97" s="123">
        <f>'直波・民消'!H30</f>
        <v>0.010294410614595226</v>
      </c>
      <c r="AN97" s="120">
        <f t="shared" si="10"/>
        <v>0.0795113249086878</v>
      </c>
      <c r="AO97" s="16"/>
      <c r="AP97" s="129">
        <f t="shared" si="11"/>
        <v>0.1446586222515145</v>
      </c>
      <c r="AQ97" s="16"/>
      <c r="AR97" s="123">
        <f>'直波・民消'!E30</f>
        <v>0.5496480173193089</v>
      </c>
    </row>
    <row r="98" spans="12:44" ht="18" customHeight="1">
      <c r="L98" s="120">
        <f t="shared" si="6"/>
        <v>0.2137839429908524</v>
      </c>
      <c r="M98" s="9"/>
      <c r="O98" s="9"/>
      <c r="P98" s="123">
        <f>'直波・民消'!I31</f>
        <v>0.022346385635380595</v>
      </c>
      <c r="S98" s="120">
        <f t="shared" si="7"/>
        <v>0.15929143850669694</v>
      </c>
      <c r="U98" s="129">
        <f t="shared" si="8"/>
        <v>0.2137839429908524</v>
      </c>
      <c r="V98" s="9"/>
      <c r="W98" s="129">
        <f>'直波・民消'!F31</f>
        <v>0.7451047832601387</v>
      </c>
      <c r="Y98" s="9"/>
      <c r="Z98" s="120">
        <f t="shared" si="12"/>
        <v>0.5201986779979895</v>
      </c>
      <c r="AA98" s="9"/>
      <c r="AB98"/>
      <c r="AC98" s="9"/>
      <c r="AD98" s="139">
        <f>'直波・民消'!G31</f>
        <v>0.05437527301129277</v>
      </c>
      <c r="AG98" s="120">
        <f t="shared" si="9"/>
        <v>0.33939265817276204</v>
      </c>
      <c r="AH98" s="16"/>
      <c r="AJ98" s="16"/>
      <c r="AK98" s="123">
        <f>'直波・民消'!H31</f>
        <v>0.035476000279730864</v>
      </c>
      <c r="AN98" s="120">
        <f t="shared" si="10"/>
        <v>0.19512376271617202</v>
      </c>
      <c r="AO98" s="16"/>
      <c r="AP98" s="129">
        <f t="shared" si="11"/>
        <v>0.5201986779979895</v>
      </c>
      <c r="AQ98" s="16"/>
      <c r="AR98" s="123">
        <f>'直波・民消'!E31</f>
        <v>0.37509469164188486</v>
      </c>
    </row>
    <row r="99" spans="12:44" ht="18" customHeight="1">
      <c r="L99" s="120">
        <f t="shared" si="6"/>
        <v>1.531677426105741</v>
      </c>
      <c r="M99" s="9"/>
      <c r="O99" s="9"/>
      <c r="P99" s="123">
        <f>'直波・民消'!I32</f>
        <v>0.16010301781285144</v>
      </c>
      <c r="S99" s="120">
        <f t="shared" si="7"/>
        <v>1.2553742057243698</v>
      </c>
      <c r="U99" s="129">
        <f t="shared" si="8"/>
        <v>1.531677426105741</v>
      </c>
      <c r="V99" s="9"/>
      <c r="W99" s="129">
        <f>'直波・民消'!F32</f>
        <v>0.819607434521075</v>
      </c>
      <c r="Y99" s="9"/>
      <c r="Z99" s="120">
        <f t="shared" si="12"/>
        <v>1.304786740896523</v>
      </c>
      <c r="AA99" s="9"/>
      <c r="AB99"/>
      <c r="AC99" s="9"/>
      <c r="AD99" s="139">
        <f>'直波・民消'!G32</f>
        <v>0.1363866119975752</v>
      </c>
      <c r="AG99" s="120">
        <f t="shared" si="9"/>
        <v>0.7427951916955339</v>
      </c>
      <c r="AH99" s="16"/>
      <c r="AJ99" s="16"/>
      <c r="AK99" s="123">
        <f>'直波・民消'!H32</f>
        <v>0.07764281811588207</v>
      </c>
      <c r="AN99" s="120">
        <f t="shared" si="10"/>
        <v>0.3918376580096052</v>
      </c>
      <c r="AO99" s="16"/>
      <c r="AP99" s="129">
        <f t="shared" si="11"/>
        <v>1.304786740896523</v>
      </c>
      <c r="AQ99" s="16"/>
      <c r="AR99" s="123">
        <f>'直波・民消'!E32</f>
        <v>0.30030781715360805</v>
      </c>
    </row>
    <row r="100" spans="12:44" ht="18" customHeight="1">
      <c r="L100" s="120">
        <f t="shared" si="6"/>
        <v>0</v>
      </c>
      <c r="M100" s="9"/>
      <c r="O100" s="9"/>
      <c r="P100" s="123">
        <f>'直波・民消'!I33</f>
        <v>0</v>
      </c>
      <c r="S100" s="120">
        <f t="shared" si="7"/>
        <v>0</v>
      </c>
      <c r="U100" s="129">
        <f t="shared" si="8"/>
        <v>0</v>
      </c>
      <c r="V100" s="9"/>
      <c r="W100" s="129">
        <f>'直波・民消'!F33</f>
        <v>1</v>
      </c>
      <c r="Y100" s="9"/>
      <c r="Z100" s="120">
        <f t="shared" si="12"/>
        <v>0.017338089941791736</v>
      </c>
      <c r="AA100" s="9"/>
      <c r="AB100"/>
      <c r="AC100" s="9"/>
      <c r="AD100" s="139">
        <f>'直波・民消'!G33</f>
        <v>0.0018123140522147165</v>
      </c>
      <c r="AG100" s="120">
        <f t="shared" si="9"/>
        <v>0</v>
      </c>
      <c r="AH100" s="16"/>
      <c r="AJ100" s="16"/>
      <c r="AK100" s="123">
        <f>'直波・民消'!H33</f>
        <v>0</v>
      </c>
      <c r="AN100" s="120">
        <f t="shared" si="10"/>
        <v>0</v>
      </c>
      <c r="AO100" s="16"/>
      <c r="AP100" s="129">
        <f t="shared" si="11"/>
        <v>0.017338089941791736</v>
      </c>
      <c r="AQ100" s="16"/>
      <c r="AR100" s="123">
        <f>'直波・民消'!E33</f>
        <v>0</v>
      </c>
    </row>
    <row r="101" spans="12:44" ht="18" customHeight="1" thickBot="1">
      <c r="L101" s="121">
        <f t="shared" si="6"/>
        <v>0.0012638760047015193</v>
      </c>
      <c r="M101" s="9"/>
      <c r="O101" s="9"/>
      <c r="P101" s="124">
        <f>'直波・民消'!I34</f>
        <v>0.00013211029884303678</v>
      </c>
      <c r="S101" s="121">
        <f t="shared" si="7"/>
        <v>0.0009862297994433816</v>
      </c>
      <c r="U101" s="130">
        <f t="shared" si="8"/>
        <v>0.0012638760047015193</v>
      </c>
      <c r="V101" s="9"/>
      <c r="W101" s="130">
        <f>'直波・民消'!F34</f>
        <v>0.7803216421347382</v>
      </c>
      <c r="Y101" s="9"/>
      <c r="Z101" s="121">
        <f t="shared" si="12"/>
        <v>0.03052524991746335</v>
      </c>
      <c r="AA101" s="9"/>
      <c r="AB101"/>
      <c r="AC101" s="9"/>
      <c r="AD101" s="140">
        <f>'直波・民消'!G34</f>
        <v>0.003190740131035909</v>
      </c>
      <c r="AG101" s="121">
        <f t="shared" si="9"/>
        <v>0.009325100644522105</v>
      </c>
      <c r="AH101" s="16"/>
      <c r="AJ101" s="16"/>
      <c r="AK101" s="124">
        <f>'直波・民消'!H34</f>
        <v>0.0009747331449497288</v>
      </c>
      <c r="AN101" s="121">
        <f t="shared" si="10"/>
        <v>0.0019678398173332084</v>
      </c>
      <c r="AO101" s="16"/>
      <c r="AP101" s="130">
        <f t="shared" si="11"/>
        <v>0.03052524991746335</v>
      </c>
      <c r="AQ101" s="16"/>
      <c r="AR101" s="124">
        <f>'直波・民消'!E34</f>
        <v>0.0644659690798278</v>
      </c>
    </row>
    <row r="102" spans="13:43" ht="18" customHeight="1">
      <c r="M102" s="9"/>
      <c r="O102" s="9"/>
      <c r="V102" s="9"/>
      <c r="Y102" s="9"/>
      <c r="AA102" s="9"/>
      <c r="AC102" s="9"/>
      <c r="AH102" s="16"/>
      <c r="AO102" s="16"/>
      <c r="AQ102" s="16"/>
    </row>
    <row r="103" spans="13:43" ht="18" customHeight="1">
      <c r="M103" s="9"/>
      <c r="O103" s="9"/>
      <c r="R103" s="9"/>
      <c r="V103" s="9"/>
      <c r="Y103" s="9"/>
      <c r="AA103" s="9"/>
      <c r="AC103" s="9"/>
      <c r="AG103" s="16"/>
      <c r="AH103" s="16"/>
      <c r="AM103" s="16"/>
      <c r="AO103" s="16"/>
      <c r="AQ103" s="16"/>
    </row>
  </sheetData>
  <sheetProtection/>
  <mergeCells count="1">
    <mergeCell ref="J2:R4"/>
  </mergeCells>
  <printOptions/>
  <pageMargins left="0.3937007874015748" right="0.3937007874015748" top="1.1811023622047245" bottom="0.1968503937007874" header="0.5118110236220472" footer="0.5118110236220472"/>
  <pageSetup fitToHeight="0" horizontalDpi="300" verticalDpi="300" orientation="landscape" paperSize="9" scale="45" r:id="rId2"/>
  <headerFooter alignWithMargins="0">
    <oddHeader>&amp;LFILE=&amp;F,SHEET=&amp;A</oddHeader>
    <oddFooter>&amp;C&amp;P/&amp;N</oddFooter>
  </headerFooter>
  <rowBreaks count="1" manualBreakCount="1">
    <brk id="58" max="255" man="1"/>
  </rowBreaks>
  <drawing r:id="rId1"/>
</worksheet>
</file>

<file path=xl/worksheets/sheet5.xml><?xml version="1.0" encoding="utf-8"?>
<worksheet xmlns="http://schemas.openxmlformats.org/spreadsheetml/2006/main" xmlns:r="http://schemas.openxmlformats.org/officeDocument/2006/relationships">
  <dimension ref="A1:AF93"/>
  <sheetViews>
    <sheetView showGridLines="0" zoomScaleSheetLayoutView="100" zoomScalePageLayoutView="0" workbookViewId="0" topLeftCell="A1">
      <selection activeCell="A1" sqref="A1"/>
    </sheetView>
  </sheetViews>
  <sheetFormatPr defaultColWidth="8.796875" defaultRowHeight="14.25"/>
  <cols>
    <col min="1" max="1" width="3.09765625" style="26" customWidth="1"/>
    <col min="2" max="2" width="20.5" style="26" bestFit="1" customWidth="1"/>
    <col min="3" max="3" width="12.69921875" style="26" bestFit="1" customWidth="1"/>
    <col min="4" max="4" width="16.09765625" style="26" bestFit="1" customWidth="1"/>
    <col min="5" max="5" width="5.5" style="26" bestFit="1" customWidth="1"/>
    <col min="6" max="6" width="16.09765625" style="26" bestFit="1" customWidth="1"/>
    <col min="7" max="7" width="5.5" style="26" bestFit="1" customWidth="1"/>
    <col min="8" max="8" width="15.5" style="26" bestFit="1" customWidth="1"/>
    <col min="9" max="9" width="5.5" style="26" bestFit="1" customWidth="1"/>
    <col min="10" max="10" width="2.59765625" style="26" customWidth="1"/>
    <col min="11" max="11" width="3.09765625" style="26" customWidth="1"/>
    <col min="12" max="12" width="20.5" style="26" bestFit="1" customWidth="1"/>
    <col min="13" max="13" width="12.59765625" style="26" bestFit="1" customWidth="1"/>
    <col min="14" max="14" width="16.09765625" style="26" bestFit="1" customWidth="1"/>
    <col min="15" max="15" width="4.59765625" style="26" customWidth="1"/>
    <col min="16" max="16" width="12.59765625" style="26" customWidth="1"/>
    <col min="17" max="17" width="5.5" style="26" bestFit="1" customWidth="1"/>
    <col min="18" max="18" width="14.09765625" style="26" bestFit="1" customWidth="1"/>
    <col min="19" max="19" width="5.59765625" style="26" bestFit="1" customWidth="1"/>
    <col min="20" max="20" width="2.59765625" style="26" customWidth="1"/>
    <col min="21" max="21" width="3.09765625" style="26" customWidth="1"/>
    <col min="22" max="22" width="20.5" style="26" bestFit="1" customWidth="1"/>
    <col min="23" max="23" width="14.8984375" style="26" bestFit="1" customWidth="1"/>
    <col min="24" max="24" width="16.19921875" style="26" bestFit="1" customWidth="1"/>
    <col min="25" max="25" width="5.59765625" style="26" bestFit="1" customWidth="1"/>
    <col min="26" max="26" width="16.19921875" style="26" bestFit="1" customWidth="1"/>
    <col min="27" max="27" width="5.59765625" style="26" bestFit="1" customWidth="1"/>
    <col min="28" max="28" width="12.8984375" style="26" bestFit="1" customWidth="1"/>
    <col min="29" max="29" width="5.59765625" style="26" bestFit="1" customWidth="1"/>
    <col min="30" max="31" width="9" style="26" customWidth="1"/>
    <col min="32" max="32" width="15" style="26" customWidth="1"/>
    <col min="33" max="16384" width="9" style="26" customWidth="1"/>
  </cols>
  <sheetData>
    <row r="1" spans="2:29" ht="18.75">
      <c r="B1" s="27"/>
      <c r="C1" s="27"/>
      <c r="D1" s="27"/>
      <c r="E1" s="27"/>
      <c r="F1" s="27"/>
      <c r="G1" s="27"/>
      <c r="H1" s="226" t="str">
        <f>VLOOKUP('入力SHEET'!$L$6,'入力SHEET'!B2:C34,2)&amp;"部門に"&amp;'入力SHEET'!L12&amp;'入力SHEET'!L15&amp;"の需要が発生した場合の経済波及効果分析結果の詳細"</f>
        <v>農林水産業部門に100億円の需要が発生した場合の経済波及効果分析結果の詳細</v>
      </c>
      <c r="I1" s="226"/>
      <c r="J1" s="226"/>
      <c r="K1" s="226"/>
      <c r="L1" s="226"/>
      <c r="M1" s="226"/>
      <c r="N1" s="226"/>
      <c r="O1" s="226"/>
      <c r="P1" s="226"/>
      <c r="Q1" s="226"/>
      <c r="R1" s="226"/>
      <c r="S1" s="226"/>
      <c r="T1" s="226"/>
      <c r="U1" s="226"/>
      <c r="V1" s="226"/>
      <c r="W1" s="30"/>
      <c r="X1" s="27"/>
      <c r="Y1" s="27"/>
      <c r="Z1" s="27"/>
      <c r="AA1" s="27"/>
      <c r="AB1" s="27"/>
      <c r="AC1" s="27"/>
    </row>
    <row r="2" ht="12">
      <c r="AB2" s="26" t="s">
        <v>142</v>
      </c>
    </row>
    <row r="3" spans="1:29" s="92" customFormat="1" ht="24.75" customHeight="1">
      <c r="A3" s="224" t="s">
        <v>98</v>
      </c>
      <c r="B3" s="225"/>
      <c r="C3" s="87" t="s">
        <v>143</v>
      </c>
      <c r="D3" s="88" t="s">
        <v>85</v>
      </c>
      <c r="E3" s="89" t="s">
        <v>99</v>
      </c>
      <c r="F3" s="88" t="s">
        <v>93</v>
      </c>
      <c r="G3" s="89" t="s">
        <v>99</v>
      </c>
      <c r="H3" s="90" t="s">
        <v>95</v>
      </c>
      <c r="I3" s="91" t="s">
        <v>100</v>
      </c>
      <c r="K3" s="224" t="s">
        <v>97</v>
      </c>
      <c r="L3" s="225"/>
      <c r="M3" s="87" t="s">
        <v>143</v>
      </c>
      <c r="N3" s="88" t="s">
        <v>85</v>
      </c>
      <c r="O3" s="89" t="s">
        <v>99</v>
      </c>
      <c r="P3" s="88" t="s">
        <v>93</v>
      </c>
      <c r="Q3" s="89" t="s">
        <v>99</v>
      </c>
      <c r="R3" s="90" t="s">
        <v>95</v>
      </c>
      <c r="S3" s="91" t="s">
        <v>100</v>
      </c>
      <c r="U3" s="224" t="s">
        <v>96</v>
      </c>
      <c r="V3" s="225"/>
      <c r="W3" s="87" t="s">
        <v>143</v>
      </c>
      <c r="X3" s="88" t="s">
        <v>85</v>
      </c>
      <c r="Y3" s="89" t="s">
        <v>99</v>
      </c>
      <c r="Z3" s="88" t="s">
        <v>93</v>
      </c>
      <c r="AA3" s="89" t="s">
        <v>99</v>
      </c>
      <c r="AB3" s="90" t="s">
        <v>95</v>
      </c>
      <c r="AC3" s="91" t="s">
        <v>100</v>
      </c>
    </row>
    <row r="4" spans="1:29" s="93" customFormat="1" ht="24.75" customHeight="1">
      <c r="A4" s="153">
        <f>'入力SHEET'!B4</f>
        <v>1</v>
      </c>
      <c r="B4" s="154" t="str">
        <f>'入力SHEET'!C4</f>
        <v>農林水産業</v>
      </c>
      <c r="C4" s="155">
        <f>IF('入力SHEET'!$L$6=1,'入力SHEET'!$L$12*10000,"")</f>
        <v>1000000</v>
      </c>
      <c r="D4" s="156">
        <f>'分析過程'!L26*10000</f>
        <v>172694.53402330438</v>
      </c>
      <c r="E4" s="157">
        <f aca="true" t="shared" si="0" ref="E4:E35">RANK(D4,$D$4:$D$35)</f>
        <v>1</v>
      </c>
      <c r="F4" s="169">
        <f>'分析過程'!Z70*10000</f>
        <v>820.7327954031394</v>
      </c>
      <c r="G4" s="157">
        <f>RANK(F4,$F$4:$F$35)</f>
        <v>16</v>
      </c>
      <c r="H4" s="171">
        <f>IF('入力SHEET'!$L$6=1,C4+D4+F4,D4+F4)</f>
        <v>1173515.2668187076</v>
      </c>
      <c r="I4" s="165">
        <f>RANK(H4,$H$4:$H$35)</f>
        <v>1</v>
      </c>
      <c r="K4" s="153">
        <f>'入力SHEET'!B4</f>
        <v>1</v>
      </c>
      <c r="L4" s="154" t="str">
        <f>'入力SHEET'!C4</f>
        <v>農林水産業</v>
      </c>
      <c r="M4" s="160">
        <f>IF('入力SHEET'!$L$6=1,'分析過程'!$C$9*10000,"")</f>
        <v>617149.9251438769</v>
      </c>
      <c r="N4" s="161">
        <f>'分析過程'!S26*10000</f>
        <v>106578.418745239</v>
      </c>
      <c r="O4" s="157">
        <f aca="true" t="shared" si="1" ref="O4:O35">RANK(N4,$N$4:$N$35)</f>
        <v>1</v>
      </c>
      <c r="P4" s="161">
        <f>'分析過程'!AG70*10000</f>
        <v>506.51518324617234</v>
      </c>
      <c r="Q4" s="157">
        <f aca="true" t="shared" si="2" ref="Q4:Q35">RANK(P4,$P$4:$P$35)</f>
        <v>15</v>
      </c>
      <c r="R4" s="175">
        <f>IF('入力SHEET'!$L$6=1,M4+N4+P4,N4+P4)</f>
        <v>724234.8590723622</v>
      </c>
      <c r="S4" s="165">
        <f aca="true" t="shared" si="3" ref="S4:S35">RANK(R4,$R$4:$R$35)</f>
        <v>1</v>
      </c>
      <c r="U4" s="153">
        <f>'入力SHEET'!B4</f>
        <v>1</v>
      </c>
      <c r="V4" s="154" t="str">
        <f>'入力SHEET'!C4</f>
        <v>農林水産業</v>
      </c>
      <c r="W4" s="163">
        <f>IF('入力SHEET'!$L$6=1,'分析過程'!$C$13*10000,"")</f>
        <v>110669.5814812567</v>
      </c>
      <c r="X4" s="161">
        <f>'分析過程'!Z26*10000</f>
        <v>19112.03180445974</v>
      </c>
      <c r="Y4" s="157">
        <f>RANK(X4,$X$4:$X$35)</f>
        <v>1</v>
      </c>
      <c r="Z4" s="161">
        <f>'分析過程'!AN70*10000</f>
        <v>90.83015497520732</v>
      </c>
      <c r="AA4" s="157">
        <f>RANK(Z4,$Z$4:$Z$35)</f>
        <v>19</v>
      </c>
      <c r="AB4" s="175">
        <f>IF('入力SHEET'!$L$6=1,W4+X4+Z4,X4+Z4)</f>
        <v>129872.44344069164</v>
      </c>
      <c r="AC4" s="165">
        <f>RANK(AB4,$AB$4:$AB$35)</f>
        <v>1</v>
      </c>
    </row>
    <row r="5" spans="1:29" s="93" customFormat="1" ht="24.75" customHeight="1">
      <c r="A5" s="153">
        <f>'入力SHEET'!B5</f>
        <v>2</v>
      </c>
      <c r="B5" s="154" t="str">
        <f>'入力SHEET'!C5</f>
        <v>鉱業</v>
      </c>
      <c r="C5" s="158">
        <f>IF('入力SHEET'!$L$6=2,'入力SHEET'!$L$12*10000,"")</f>
      </c>
      <c r="D5" s="156">
        <f>'分析過程'!L27*10000</f>
        <v>32.89928798403146</v>
      </c>
      <c r="E5" s="159">
        <f t="shared" si="0"/>
        <v>27</v>
      </c>
      <c r="F5" s="169">
        <f>'分析過程'!Z71*10000</f>
        <v>55.965187715749565</v>
      </c>
      <c r="G5" s="159">
        <f aca="true" t="shared" si="4" ref="G5:G35">RANK(F5,$F$4:$F$35)</f>
        <v>28</v>
      </c>
      <c r="H5" s="171">
        <f>IF('入力SHEET'!$L$6=2,C5+D5+F5,D5+F5)</f>
        <v>88.86447569978102</v>
      </c>
      <c r="I5" s="166">
        <f aca="true" t="shared" si="5" ref="I5:I35">RANK(H5,$H$4:$H$35)</f>
        <v>28</v>
      </c>
      <c r="K5" s="153">
        <f>'入力SHEET'!B5</f>
        <v>2</v>
      </c>
      <c r="L5" s="154" t="str">
        <f>'入力SHEET'!C5</f>
        <v>鉱業</v>
      </c>
      <c r="M5" s="162">
        <f>IF('入力SHEET'!$L$6=2,'分析過程'!$C$9*10000,"")</f>
      </c>
      <c r="N5" s="161">
        <f>'分析過程'!S27*10000</f>
        <v>14.06099718541343</v>
      </c>
      <c r="O5" s="159">
        <f t="shared" si="1"/>
        <v>25</v>
      </c>
      <c r="P5" s="161">
        <f>'分析過程'!AG71*10000</f>
        <v>23.919251606121218</v>
      </c>
      <c r="Q5" s="159">
        <f t="shared" si="2"/>
        <v>27</v>
      </c>
      <c r="R5" s="175">
        <f>IF('入力SHEET'!$L$6=2,M5+N5+P5,N5+P5)</f>
        <v>37.98024879153465</v>
      </c>
      <c r="S5" s="166">
        <f t="shared" si="3"/>
        <v>27</v>
      </c>
      <c r="U5" s="153">
        <f>'入力SHEET'!B5</f>
        <v>2</v>
      </c>
      <c r="V5" s="154" t="str">
        <f>'入力SHEET'!C5</f>
        <v>鉱業</v>
      </c>
      <c r="W5" s="164">
        <f>IF('入力SHEET'!$L$6=2,'分析過程'!$C$13*10000,"")</f>
      </c>
      <c r="X5" s="161">
        <f>'分析過程'!Z27*10000</f>
        <v>5.209873020829735</v>
      </c>
      <c r="Y5" s="159">
        <f aca="true" t="shared" si="6" ref="Y5:Y35">RANK(X5,$X$4:$X$35)</f>
        <v>28</v>
      </c>
      <c r="Z5" s="161">
        <f>'分析過程'!AN71*10000</f>
        <v>8.862548080903066</v>
      </c>
      <c r="AA5" s="159">
        <f aca="true" t="shared" si="7" ref="AA5:AA35">RANK(Z5,$Z$4:$Z$35)</f>
        <v>28</v>
      </c>
      <c r="AB5" s="175">
        <f>IF('入力SHEET'!$L$6=2,W5+X5+Z5,X5+Z5)</f>
        <v>14.0724211017328</v>
      </c>
      <c r="AC5" s="166">
        <f aca="true" t="shared" si="8" ref="AC5:AC35">RANK(AB5,$AB$4:$AB$35)</f>
        <v>28</v>
      </c>
    </row>
    <row r="6" spans="1:29" s="93" customFormat="1" ht="24.75" customHeight="1">
      <c r="A6" s="153">
        <f>'入力SHEET'!B6</f>
        <v>3</v>
      </c>
      <c r="B6" s="154" t="str">
        <f>'入力SHEET'!C6</f>
        <v>食料品</v>
      </c>
      <c r="C6" s="158">
        <f>IF('入力SHEET'!$L$6=3,'入力SHEET'!$L$12*10000,"")</f>
      </c>
      <c r="D6" s="156">
        <f>'分析過程'!L28*10000</f>
        <v>3398.7189385888532</v>
      </c>
      <c r="E6" s="159">
        <f t="shared" si="0"/>
        <v>5</v>
      </c>
      <c r="F6" s="169">
        <f>'分析過程'!Z72*10000</f>
        <v>4339.986424456403</v>
      </c>
      <c r="G6" s="159">
        <f t="shared" si="4"/>
        <v>7</v>
      </c>
      <c r="H6" s="171">
        <f>IF('入力SHEET'!$L$6=3,C6+D6+F6,D6+F6)</f>
        <v>7738.7053630452565</v>
      </c>
      <c r="I6" s="166">
        <f t="shared" si="5"/>
        <v>7</v>
      </c>
      <c r="K6" s="153">
        <f>'入力SHEET'!B6</f>
        <v>3</v>
      </c>
      <c r="L6" s="154" t="str">
        <f>'入力SHEET'!C6</f>
        <v>食料品</v>
      </c>
      <c r="M6" s="162">
        <f>IF('入力SHEET'!$L$6=3,'分析過程'!$C$9*10000,"")</f>
      </c>
      <c r="N6" s="161">
        <f>'分析過程'!S28*10000</f>
        <v>2100.6131029426656</v>
      </c>
      <c r="O6" s="159">
        <f t="shared" si="1"/>
        <v>5</v>
      </c>
      <c r="P6" s="161">
        <f>'分析過程'!AG72*10000</f>
        <v>2682.373127797273</v>
      </c>
      <c r="Q6" s="159">
        <f t="shared" si="2"/>
        <v>7</v>
      </c>
      <c r="R6" s="175">
        <f>IF('入力SHEET'!$L$6=3,M6+N6+P6,N6+P6)</f>
        <v>4782.986230739938</v>
      </c>
      <c r="S6" s="166">
        <f t="shared" si="3"/>
        <v>8</v>
      </c>
      <c r="U6" s="153">
        <f>'入力SHEET'!B6</f>
        <v>3</v>
      </c>
      <c r="V6" s="154" t="str">
        <f>'入力SHEET'!C6</f>
        <v>食料品</v>
      </c>
      <c r="W6" s="164">
        <f>IF('入力SHEET'!$L$6=3,'分析過程'!$C$13*10000,"")</f>
      </c>
      <c r="X6" s="161">
        <f>'分析過程'!Z28*10000</f>
        <v>422.6453857210371</v>
      </c>
      <c r="Y6" s="159">
        <f t="shared" si="6"/>
        <v>6</v>
      </c>
      <c r="Z6" s="161">
        <f>'分析過程'!AN72*10000</f>
        <v>539.6960647619869</v>
      </c>
      <c r="AA6" s="159">
        <f t="shared" si="7"/>
        <v>10</v>
      </c>
      <c r="AB6" s="175">
        <f>IF('入力SHEET'!$L$6=3,W6+X6+Z6,X6+Z6)</f>
        <v>962.341450483024</v>
      </c>
      <c r="AC6" s="166">
        <f t="shared" si="8"/>
        <v>10</v>
      </c>
    </row>
    <row r="7" spans="1:29" s="93" customFormat="1" ht="24.75" customHeight="1">
      <c r="A7" s="153">
        <f>'入力SHEET'!B7</f>
        <v>4</v>
      </c>
      <c r="B7" s="154" t="str">
        <f>'入力SHEET'!C7</f>
        <v>繊維製品</v>
      </c>
      <c r="C7" s="158">
        <f>IF('入力SHEET'!$L$6=4,'入力SHEET'!$L$12*10000,"")</f>
      </c>
      <c r="D7" s="156">
        <f>'分析過程'!L29*10000</f>
        <v>331.8428409673257</v>
      </c>
      <c r="E7" s="159">
        <f t="shared" si="0"/>
        <v>17</v>
      </c>
      <c r="F7" s="169">
        <f>'分析過程'!Z73*10000</f>
        <v>561.5430074268488</v>
      </c>
      <c r="G7" s="159">
        <f t="shared" si="4"/>
        <v>18</v>
      </c>
      <c r="H7" s="171">
        <f>IF('入力SHEET'!$L$6=4,C7+D7+F7,D7+F7)</f>
        <v>893.3858483941744</v>
      </c>
      <c r="I7" s="166">
        <f t="shared" si="5"/>
        <v>20</v>
      </c>
      <c r="K7" s="153">
        <f>'入力SHEET'!B7</f>
        <v>4</v>
      </c>
      <c r="L7" s="154" t="str">
        <f>'入力SHEET'!C7</f>
        <v>繊維製品</v>
      </c>
      <c r="M7" s="162">
        <f>IF('入力SHEET'!$L$6=4,'分析過程'!$C$9*10000,"")</f>
      </c>
      <c r="N7" s="161">
        <f>'分析過程'!S29*10000</f>
        <v>128.50982023017733</v>
      </c>
      <c r="O7" s="159">
        <f t="shared" si="1"/>
        <v>16</v>
      </c>
      <c r="P7" s="161">
        <f>'分析過程'!AG73*10000</f>
        <v>217.4637570169638</v>
      </c>
      <c r="Q7" s="159">
        <f t="shared" si="2"/>
        <v>18</v>
      </c>
      <c r="R7" s="175">
        <f>IF('入力SHEET'!$L$6=4,M7+N7+P7,N7+P7)</f>
        <v>345.9735772471411</v>
      </c>
      <c r="S7" s="166">
        <f t="shared" si="3"/>
        <v>20</v>
      </c>
      <c r="U7" s="153">
        <f>'入力SHEET'!B7</f>
        <v>4</v>
      </c>
      <c r="V7" s="154" t="str">
        <f>'入力SHEET'!C7</f>
        <v>繊維製品</v>
      </c>
      <c r="W7" s="164">
        <f>IF('入力SHEET'!$L$6=4,'分析過程'!$C$13*10000,"")</f>
      </c>
      <c r="X7" s="161">
        <f>'分析過程'!Z29*10000</f>
        <v>103.91091469606803</v>
      </c>
      <c r="Y7" s="159">
        <f t="shared" si="6"/>
        <v>12</v>
      </c>
      <c r="Z7" s="161">
        <f>'分析過程'!AN73*10000</f>
        <v>175.83759641405118</v>
      </c>
      <c r="AA7" s="159">
        <f t="shared" si="7"/>
        <v>16</v>
      </c>
      <c r="AB7" s="175">
        <f>IF('入力SHEET'!$L$6=4,W7+X7+Z7,X7+Z7)</f>
        <v>279.74851111011924</v>
      </c>
      <c r="AC7" s="166">
        <f t="shared" si="8"/>
        <v>18</v>
      </c>
    </row>
    <row r="8" spans="1:29" s="93" customFormat="1" ht="24.75" customHeight="1">
      <c r="A8" s="153">
        <f>'入力SHEET'!B8</f>
        <v>5</v>
      </c>
      <c r="B8" s="154" t="str">
        <f>'入力SHEET'!C8</f>
        <v>ﾊﾟﾙﾌﾟ･紙･木製品</v>
      </c>
      <c r="C8" s="158">
        <f>IF('入力SHEET'!$L$6=5,'入力SHEET'!$L$12*10000,"")</f>
      </c>
      <c r="D8" s="156">
        <f>'分析過程'!L30*10000</f>
        <v>860.199353754671</v>
      </c>
      <c r="E8" s="159">
        <f t="shared" si="0"/>
        <v>10</v>
      </c>
      <c r="F8" s="169">
        <f>'分析過程'!Z74*10000</f>
        <v>286.5295466404938</v>
      </c>
      <c r="G8" s="159">
        <f t="shared" si="4"/>
        <v>22</v>
      </c>
      <c r="H8" s="171">
        <f>IF('入力SHEET'!$L$6=5,C8+D8+F8,D8+F8)</f>
        <v>1146.7289003951648</v>
      </c>
      <c r="I8" s="166">
        <f t="shared" si="5"/>
        <v>18</v>
      </c>
      <c r="K8" s="153">
        <f>'入力SHEET'!B8</f>
        <v>5</v>
      </c>
      <c r="L8" s="154" t="str">
        <f>'入力SHEET'!C8</f>
        <v>ﾊﾟﾙﾌﾟ･紙･木製品</v>
      </c>
      <c r="M8" s="162">
        <f>IF('入力SHEET'!$L$6=5,'分析過程'!$C$9*10000,"")</f>
      </c>
      <c r="N8" s="161">
        <f>'分析過程'!S30*10000</f>
        <v>331.38816953494126</v>
      </c>
      <c r="O8" s="159">
        <f t="shared" si="1"/>
        <v>11</v>
      </c>
      <c r="P8" s="161">
        <f>'分析過程'!AG74*10000</f>
        <v>110.38429820298408</v>
      </c>
      <c r="Q8" s="159">
        <f t="shared" si="2"/>
        <v>20</v>
      </c>
      <c r="R8" s="175">
        <f>IF('入力SHEET'!$L$6=5,M8+N8+P8,N8+P8)</f>
        <v>441.77246773792535</v>
      </c>
      <c r="S8" s="166">
        <f t="shared" si="3"/>
        <v>17</v>
      </c>
      <c r="U8" s="153">
        <f>'入力SHEET'!B8</f>
        <v>5</v>
      </c>
      <c r="V8" s="154" t="str">
        <f>'入力SHEET'!C8</f>
        <v>ﾊﾟﾙﾌﾟ･紙･木製品</v>
      </c>
      <c r="W8" s="164">
        <f>IF('入力SHEET'!$L$6=5,'分析過程'!$C$13*10000,"")</f>
      </c>
      <c r="X8" s="161">
        <f>'分析過程'!Z30*10000</f>
        <v>223.67804130204377</v>
      </c>
      <c r="Y8" s="159">
        <f t="shared" si="6"/>
        <v>9</v>
      </c>
      <c r="Z8" s="161">
        <f>'分析過程'!AN74*10000</f>
        <v>74.5064123658791</v>
      </c>
      <c r="AA8" s="159">
        <f t="shared" si="7"/>
        <v>20</v>
      </c>
      <c r="AB8" s="175">
        <f>IF('入力SHEET'!$L$6=5,W8+X8+Z8,X8+Z8)</f>
        <v>298.18445366792287</v>
      </c>
      <c r="AC8" s="166">
        <f t="shared" si="8"/>
        <v>17</v>
      </c>
    </row>
    <row r="9" spans="1:29" s="93" customFormat="1" ht="24.75" customHeight="1">
      <c r="A9" s="153">
        <f>'入力SHEET'!B9</f>
        <v>6</v>
      </c>
      <c r="B9" s="154" t="str">
        <f>'入力SHEET'!C9</f>
        <v>化学製品</v>
      </c>
      <c r="C9" s="158">
        <f>IF('入力SHEET'!$L$6=6,'入力SHEET'!$L$12*10000,"")</f>
      </c>
      <c r="D9" s="156">
        <f>'分析過程'!L31*10000</f>
        <v>902.8136032920253</v>
      </c>
      <c r="E9" s="159">
        <f t="shared" si="0"/>
        <v>9</v>
      </c>
      <c r="F9" s="169">
        <f>'分析過程'!Z75*10000</f>
        <v>226.4103885654063</v>
      </c>
      <c r="G9" s="159">
        <f t="shared" si="4"/>
        <v>23</v>
      </c>
      <c r="H9" s="171">
        <f>IF('入力SHEET'!$L$6=6,C9+D9+F9,D9+F9)</f>
        <v>1129.2239918574317</v>
      </c>
      <c r="I9" s="166">
        <f t="shared" si="5"/>
        <v>19</v>
      </c>
      <c r="K9" s="153">
        <f>'入力SHEET'!B9</f>
        <v>6</v>
      </c>
      <c r="L9" s="154" t="str">
        <f>'入力SHEET'!C9</f>
        <v>化学製品</v>
      </c>
      <c r="M9" s="162">
        <f>IF('入力SHEET'!$L$6=6,'分析過程'!$C$9*10000,"")</f>
      </c>
      <c r="N9" s="161">
        <f>'分析過程'!S31*10000</f>
        <v>257.59837670004225</v>
      </c>
      <c r="O9" s="159">
        <f t="shared" si="1"/>
        <v>15</v>
      </c>
      <c r="P9" s="161">
        <f>'分析過程'!AG75*10000</f>
        <v>64.60131786872206</v>
      </c>
      <c r="Q9" s="159">
        <f t="shared" si="2"/>
        <v>23</v>
      </c>
      <c r="R9" s="175">
        <f>IF('入力SHEET'!$L$6=6,M9+N9+P9,N9+P9)</f>
        <v>322.1996945687643</v>
      </c>
      <c r="S9" s="166">
        <f t="shared" si="3"/>
        <v>21</v>
      </c>
      <c r="U9" s="153">
        <f>'入力SHEET'!B9</f>
        <v>6</v>
      </c>
      <c r="V9" s="154" t="str">
        <f>'入力SHEET'!C9</f>
        <v>化学製品</v>
      </c>
      <c r="W9" s="164">
        <f>IF('入力SHEET'!$L$6=6,'分析過程'!$C$13*10000,"")</f>
      </c>
      <c r="X9" s="161">
        <f>'分析過程'!Z31*10000</f>
        <v>91.78775563710198</v>
      </c>
      <c r="Y9" s="159">
        <f t="shared" si="6"/>
        <v>14</v>
      </c>
      <c r="Z9" s="161">
        <f>'分析過程'!AN75*10000</f>
        <v>23.018817332353315</v>
      </c>
      <c r="AA9" s="159">
        <f t="shared" si="7"/>
        <v>24</v>
      </c>
      <c r="AB9" s="175">
        <f>IF('入力SHEET'!$L$6=6,W9+X9+Z9,X9+Z9)</f>
        <v>114.80657296945529</v>
      </c>
      <c r="AC9" s="166">
        <f t="shared" si="8"/>
        <v>21</v>
      </c>
    </row>
    <row r="10" spans="1:29" s="93" customFormat="1" ht="24.75" customHeight="1">
      <c r="A10" s="153">
        <f>'入力SHEET'!B10</f>
        <v>7</v>
      </c>
      <c r="B10" s="154" t="str">
        <f>'入力SHEET'!C10</f>
        <v>石油･石炭製品</v>
      </c>
      <c r="C10" s="158">
        <f>IF('入力SHEET'!$L$6=7,'入力SHEET'!$L$12*10000,"")</f>
      </c>
      <c r="D10" s="156">
        <f>'分析過程'!L32*10000</f>
        <v>252.57662192594222</v>
      </c>
      <c r="E10" s="159">
        <f t="shared" si="0"/>
        <v>18</v>
      </c>
      <c r="F10" s="169">
        <f>'分析過程'!Z76*10000</f>
        <v>106.39931882322253</v>
      </c>
      <c r="G10" s="159">
        <f t="shared" si="4"/>
        <v>26</v>
      </c>
      <c r="H10" s="171">
        <f>IF('入力SHEET'!$L$6=7,C10+D10+F10,D10+F10)</f>
        <v>358.97594074916475</v>
      </c>
      <c r="I10" s="166">
        <f t="shared" si="5"/>
        <v>25</v>
      </c>
      <c r="K10" s="153">
        <f>'入力SHEET'!B10</f>
        <v>7</v>
      </c>
      <c r="L10" s="154" t="str">
        <f>'入力SHEET'!C10</f>
        <v>石油･石炭製品</v>
      </c>
      <c r="M10" s="162">
        <f>IF('入力SHEET'!$L$6=7,'分析過程'!$C$9*10000,"")</f>
      </c>
      <c r="N10" s="161">
        <f>'分析過程'!S32*10000</f>
        <v>82.25544929027242</v>
      </c>
      <c r="O10" s="159">
        <f t="shared" si="1"/>
        <v>20</v>
      </c>
      <c r="P10" s="161">
        <f>'分析過程'!AG76*10000</f>
        <v>34.650569428192185</v>
      </c>
      <c r="Q10" s="159">
        <f t="shared" si="2"/>
        <v>26</v>
      </c>
      <c r="R10" s="175">
        <f>IF('入力SHEET'!$L$6=7,M10+N10+P10,N10+P10)</f>
        <v>116.90601871846461</v>
      </c>
      <c r="S10" s="166">
        <f t="shared" si="3"/>
        <v>24</v>
      </c>
      <c r="U10" s="153">
        <f>'入力SHEET'!B10</f>
        <v>7</v>
      </c>
      <c r="V10" s="154" t="str">
        <f>'入力SHEET'!C10</f>
        <v>石油･石炭製品</v>
      </c>
      <c r="W10" s="164">
        <f>IF('入力SHEET'!$L$6=7,'分析過程'!$C$13*10000,"")</f>
      </c>
      <c r="X10" s="161">
        <f>'分析過程'!Z32*10000</f>
        <v>40.20189916922968</v>
      </c>
      <c r="Y10" s="159">
        <f t="shared" si="6"/>
        <v>21</v>
      </c>
      <c r="Z10" s="161">
        <f>'分析過程'!AN76*10000</f>
        <v>16.935275538921818</v>
      </c>
      <c r="AA10" s="159">
        <f t="shared" si="7"/>
        <v>26</v>
      </c>
      <c r="AB10" s="175">
        <f>IF('入力SHEET'!$L$6=7,W10+X10+Z10,X10+Z10)</f>
        <v>57.13717470815149</v>
      </c>
      <c r="AC10" s="166">
        <f t="shared" si="8"/>
        <v>26</v>
      </c>
    </row>
    <row r="11" spans="1:29" s="93" customFormat="1" ht="24.75" customHeight="1">
      <c r="A11" s="153">
        <f>'入力SHEET'!B11</f>
        <v>8</v>
      </c>
      <c r="B11" s="154" t="str">
        <f>'入力SHEET'!C11</f>
        <v>窯業･土石製品</v>
      </c>
      <c r="C11" s="158">
        <f>IF('入力SHEET'!$L$6=8,'入力SHEET'!$L$12*10000,"")</f>
      </c>
      <c r="D11" s="156">
        <f>'分析過程'!L33*10000</f>
        <v>132.89698418680797</v>
      </c>
      <c r="E11" s="159">
        <f t="shared" si="0"/>
        <v>23</v>
      </c>
      <c r="F11" s="169">
        <f>'分析過程'!Z77*10000</f>
        <v>122.31434765085932</v>
      </c>
      <c r="G11" s="159">
        <f t="shared" si="4"/>
        <v>25</v>
      </c>
      <c r="H11" s="171">
        <f>IF('入力SHEET'!$L$6=8,C11+D11+F11,D11+F11)</f>
        <v>255.21133183766727</v>
      </c>
      <c r="I11" s="166">
        <f t="shared" si="5"/>
        <v>26</v>
      </c>
      <c r="K11" s="153">
        <f>'入力SHEET'!B11</f>
        <v>8</v>
      </c>
      <c r="L11" s="154" t="str">
        <f>'入力SHEET'!C11</f>
        <v>窯業･土石製品</v>
      </c>
      <c r="M11" s="162">
        <f>IF('入力SHEET'!$L$6=8,'分析過程'!$C$9*10000,"")</f>
      </c>
      <c r="N11" s="161">
        <f>'分析過程'!S33*10000</f>
        <v>58.316708256563295</v>
      </c>
      <c r="O11" s="159">
        <f t="shared" si="1"/>
        <v>23</v>
      </c>
      <c r="P11" s="161">
        <f>'分析過程'!AG77*10000</f>
        <v>53.67292697568284</v>
      </c>
      <c r="Q11" s="159">
        <f t="shared" si="2"/>
        <v>24</v>
      </c>
      <c r="R11" s="175">
        <f>IF('入力SHEET'!$L$6=8,M11+N11+P11,N11+P11)</f>
        <v>111.98963523224614</v>
      </c>
      <c r="S11" s="166">
        <f t="shared" si="3"/>
        <v>25</v>
      </c>
      <c r="U11" s="153">
        <f>'入力SHEET'!B11</f>
        <v>8</v>
      </c>
      <c r="V11" s="154" t="str">
        <f>'入力SHEET'!C11</f>
        <v>窯業･土石製品</v>
      </c>
      <c r="W11" s="164">
        <f>IF('入力SHEET'!$L$6=8,'分析過程'!$C$13*10000,"")</f>
      </c>
      <c r="X11" s="161">
        <f>'分析過程'!Z33*10000</f>
        <v>39.75187998838836</v>
      </c>
      <c r="Y11" s="159">
        <f t="shared" si="6"/>
        <v>22</v>
      </c>
      <c r="Z11" s="161">
        <f>'分析過程'!AN77*10000</f>
        <v>36.5864229231894</v>
      </c>
      <c r="AA11" s="159">
        <f t="shared" si="7"/>
        <v>22</v>
      </c>
      <c r="AB11" s="175">
        <f>IF('入力SHEET'!$L$6=8,W11+X11+Z11,X11+Z11)</f>
        <v>76.33830291157776</v>
      </c>
      <c r="AC11" s="166">
        <f t="shared" si="8"/>
        <v>24</v>
      </c>
    </row>
    <row r="12" spans="1:29" s="93" customFormat="1" ht="24.75" customHeight="1">
      <c r="A12" s="153">
        <f>'入力SHEET'!B12</f>
        <v>9</v>
      </c>
      <c r="B12" s="154" t="str">
        <f>'入力SHEET'!C12</f>
        <v>鉄鋼</v>
      </c>
      <c r="C12" s="158">
        <f>IF('入力SHEET'!$L$6=9,'入力SHEET'!$L$12*10000,"")</f>
      </c>
      <c r="D12" s="156">
        <f>'分析過程'!L34*10000</f>
        <v>25.667527885744253</v>
      </c>
      <c r="E12" s="159">
        <f t="shared" si="0"/>
        <v>29</v>
      </c>
      <c r="F12" s="169">
        <f>'分析過程'!Z78*10000</f>
        <v>17.24525366195782</v>
      </c>
      <c r="G12" s="159">
        <f t="shared" si="4"/>
        <v>30</v>
      </c>
      <c r="H12" s="171">
        <f>IF('入力SHEET'!$L$6=9,C12+D12+F12,D12+F12)</f>
        <v>42.91278154770207</v>
      </c>
      <c r="I12" s="166">
        <f t="shared" si="5"/>
        <v>30</v>
      </c>
      <c r="K12" s="153">
        <f>'入力SHEET'!B12</f>
        <v>9</v>
      </c>
      <c r="L12" s="154" t="str">
        <f>'入力SHEET'!C12</f>
        <v>鉄鋼</v>
      </c>
      <c r="M12" s="162">
        <f>IF('入力SHEET'!$L$6=9,'分析過程'!$C$9*10000,"")</f>
      </c>
      <c r="N12" s="161">
        <f>'分析過程'!S34*10000</f>
        <v>10.844262761321414</v>
      </c>
      <c r="O12" s="159">
        <f t="shared" si="1"/>
        <v>27</v>
      </c>
      <c r="P12" s="161">
        <f>'分析過程'!AG78*10000</f>
        <v>7.285939765152742</v>
      </c>
      <c r="Q12" s="159">
        <f t="shared" si="2"/>
        <v>29</v>
      </c>
      <c r="R12" s="175">
        <f>IF('入力SHEET'!$L$6=9,M12+N12+P12,N12+P12)</f>
        <v>18.130202526474157</v>
      </c>
      <c r="S12" s="166">
        <f t="shared" si="3"/>
        <v>29</v>
      </c>
      <c r="U12" s="153">
        <f>'入力SHEET'!B12</f>
        <v>9</v>
      </c>
      <c r="V12" s="154" t="str">
        <f>'入力SHEET'!C12</f>
        <v>鉄鋼</v>
      </c>
      <c r="W12" s="164">
        <f>IF('入力SHEET'!$L$6=9,'分析過程'!$C$13*10000,"")</f>
      </c>
      <c r="X12" s="161">
        <f>'分析過程'!Z34*10000</f>
        <v>8.163101350569287</v>
      </c>
      <c r="Y12" s="159">
        <f t="shared" si="6"/>
        <v>25</v>
      </c>
      <c r="Z12" s="161">
        <f>'分析過程'!AN78*10000</f>
        <v>5.4845466258176</v>
      </c>
      <c r="AA12" s="159">
        <f t="shared" si="7"/>
        <v>29</v>
      </c>
      <c r="AB12" s="175">
        <f>IF('入力SHEET'!$L$6=9,W12+X12+Z12,X12+Z12)</f>
        <v>13.647647976386887</v>
      </c>
      <c r="AC12" s="166">
        <f t="shared" si="8"/>
        <v>29</v>
      </c>
    </row>
    <row r="13" spans="1:29" s="93" customFormat="1" ht="24.75" customHeight="1">
      <c r="A13" s="153">
        <f>'入力SHEET'!B13</f>
        <v>10</v>
      </c>
      <c r="B13" s="154" t="str">
        <f>'入力SHEET'!C13</f>
        <v>非鉄金属</v>
      </c>
      <c r="C13" s="158">
        <f>IF('入力SHEET'!$L$6=10,'入力SHEET'!$L$12*10000,"")</f>
      </c>
      <c r="D13" s="156">
        <f>'分析過程'!L35*10000</f>
        <v>3.773700527790241</v>
      </c>
      <c r="E13" s="159">
        <f t="shared" si="0"/>
        <v>30</v>
      </c>
      <c r="F13" s="169">
        <f>'分析過程'!Z79*10000</f>
        <v>7.880040303138919</v>
      </c>
      <c r="G13" s="159">
        <f t="shared" si="4"/>
        <v>32</v>
      </c>
      <c r="H13" s="171">
        <f>IF('入力SHEET'!$L$6=10,C13+D13+F13,D13+F13)</f>
        <v>11.65374083092916</v>
      </c>
      <c r="I13" s="166">
        <f t="shared" si="5"/>
        <v>31</v>
      </c>
      <c r="K13" s="153">
        <f>'入力SHEET'!B13</f>
        <v>10</v>
      </c>
      <c r="L13" s="154" t="str">
        <f>'入力SHEET'!C13</f>
        <v>非鉄金属</v>
      </c>
      <c r="M13" s="162">
        <f>IF('入力SHEET'!$L$6=10,'分析過程'!$C$9*10000,"")</f>
      </c>
      <c r="N13" s="161">
        <f>'分析過程'!S35*10000</f>
        <v>1.4119723267780508</v>
      </c>
      <c r="O13" s="159">
        <f t="shared" si="1"/>
        <v>29</v>
      </c>
      <c r="P13" s="161">
        <f>'分析過程'!AG79*10000</f>
        <v>2.9484053543705917</v>
      </c>
      <c r="Q13" s="159">
        <f t="shared" si="2"/>
        <v>31</v>
      </c>
      <c r="R13" s="175">
        <f>IF('入力SHEET'!$L$6=10,M13+N13+P13,N13+P13)</f>
        <v>4.360377681148643</v>
      </c>
      <c r="S13" s="166">
        <f t="shared" si="3"/>
        <v>31</v>
      </c>
      <c r="U13" s="153">
        <f>'入力SHEET'!B13</f>
        <v>10</v>
      </c>
      <c r="V13" s="154" t="str">
        <f>'入力SHEET'!C13</f>
        <v>非鉄金属</v>
      </c>
      <c r="W13" s="164">
        <f>IF('入力SHEET'!$L$6=10,'分析過程'!$C$13*10000,"")</f>
      </c>
      <c r="X13" s="161">
        <f>'分析過程'!Z35*10000</f>
        <v>0.9711584469785215</v>
      </c>
      <c r="Y13" s="159">
        <f t="shared" si="6"/>
        <v>29</v>
      </c>
      <c r="Z13" s="161">
        <f>'分析過程'!AN79*10000</f>
        <v>2.0279213060411463</v>
      </c>
      <c r="AA13" s="159">
        <f t="shared" si="7"/>
        <v>31</v>
      </c>
      <c r="AB13" s="175">
        <f>IF('入力SHEET'!$L$6=10,W13+X13+Z13,X13+Z13)</f>
        <v>2.999079753019668</v>
      </c>
      <c r="AC13" s="166">
        <f t="shared" si="8"/>
        <v>31</v>
      </c>
    </row>
    <row r="14" spans="1:29" s="93" customFormat="1" ht="24.75" customHeight="1">
      <c r="A14" s="153">
        <f>'入力SHEET'!B14</f>
        <v>11</v>
      </c>
      <c r="B14" s="154" t="str">
        <f>'入力SHEET'!C14</f>
        <v>金属製品</v>
      </c>
      <c r="C14" s="158">
        <f>IF('入力SHEET'!$L$6=11,'入力SHEET'!$L$12*10000,"")</f>
      </c>
      <c r="D14" s="156">
        <f>'分析過程'!L36*10000</f>
        <v>94.46314676749245</v>
      </c>
      <c r="E14" s="159">
        <f t="shared" si="0"/>
        <v>25</v>
      </c>
      <c r="F14" s="169">
        <f>'分析過程'!Z80*10000</f>
        <v>88.14259650152005</v>
      </c>
      <c r="G14" s="159">
        <f t="shared" si="4"/>
        <v>27</v>
      </c>
      <c r="H14" s="171">
        <f>IF('入力SHEET'!$L$6=11,C14+D14+F14,D14+F14)</f>
        <v>182.6057432690125</v>
      </c>
      <c r="I14" s="166">
        <f t="shared" si="5"/>
        <v>27</v>
      </c>
      <c r="K14" s="153">
        <f>'入力SHEET'!B14</f>
        <v>11</v>
      </c>
      <c r="L14" s="154" t="str">
        <f>'入力SHEET'!C14</f>
        <v>金属製品</v>
      </c>
      <c r="M14" s="162">
        <f>IF('入力SHEET'!$L$6=11,'分析過程'!$C$9*10000,"")</f>
      </c>
      <c r="N14" s="161">
        <f>'分析過程'!S36*10000</f>
        <v>46.49425681467539</v>
      </c>
      <c r="O14" s="159">
        <f t="shared" si="1"/>
        <v>24</v>
      </c>
      <c r="P14" s="161">
        <f>'分析過程'!AG80*10000</f>
        <v>43.38331569814131</v>
      </c>
      <c r="Q14" s="159">
        <f t="shared" si="2"/>
        <v>25</v>
      </c>
      <c r="R14" s="175">
        <f>IF('入力SHEET'!$L$6=11,M14+N14+P14,N14+P14)</f>
        <v>89.8775725128167</v>
      </c>
      <c r="S14" s="166">
        <f t="shared" si="3"/>
        <v>26</v>
      </c>
      <c r="U14" s="153">
        <f>'入力SHEET'!B14</f>
        <v>11</v>
      </c>
      <c r="V14" s="154" t="str">
        <f>'入力SHEET'!C14</f>
        <v>金属製品</v>
      </c>
      <c r="W14" s="164">
        <f>IF('入力SHEET'!$L$6=11,'分析過程'!$C$13*10000,"")</f>
      </c>
      <c r="X14" s="161">
        <f>'分析過程'!Z36*10000</f>
        <v>34.649905454894196</v>
      </c>
      <c r="Y14" s="159">
        <f t="shared" si="6"/>
        <v>23</v>
      </c>
      <c r="Z14" s="161">
        <f>'分析過程'!AN80*10000</f>
        <v>32.33147253546263</v>
      </c>
      <c r="AA14" s="159">
        <f t="shared" si="7"/>
        <v>23</v>
      </c>
      <c r="AB14" s="175">
        <f>IF('入力SHEET'!$L$6=11,W14+X14+Z14,X14+Z14)</f>
        <v>66.98137799035683</v>
      </c>
      <c r="AC14" s="166">
        <f t="shared" si="8"/>
        <v>25</v>
      </c>
    </row>
    <row r="15" spans="1:29" s="93" customFormat="1" ht="24.75" customHeight="1">
      <c r="A15" s="153">
        <f>'入力SHEET'!B15</f>
        <v>12</v>
      </c>
      <c r="B15" s="154" t="str">
        <f>'入力SHEET'!C15</f>
        <v>一般機械</v>
      </c>
      <c r="C15" s="158">
        <f>IF('入力SHEET'!$L$6=12,'入力SHEET'!$L$12*10000,"")</f>
      </c>
      <c r="D15" s="156">
        <f>'分析過程'!L37*10000</f>
        <v>29.302417900702775</v>
      </c>
      <c r="E15" s="159">
        <f t="shared" si="0"/>
        <v>28</v>
      </c>
      <c r="F15" s="169">
        <f>'分析過程'!Z81*10000</f>
        <v>36.24253611400455</v>
      </c>
      <c r="G15" s="159">
        <f t="shared" si="4"/>
        <v>29</v>
      </c>
      <c r="H15" s="171">
        <f>IF('入力SHEET'!$L$6=12,C15+D15+F15,D15+F15)</f>
        <v>65.54495401470733</v>
      </c>
      <c r="I15" s="166">
        <f t="shared" si="5"/>
        <v>29</v>
      </c>
      <c r="K15" s="153">
        <f>'入力SHEET'!B15</f>
        <v>12</v>
      </c>
      <c r="L15" s="154" t="str">
        <f>'入力SHEET'!C15</f>
        <v>一般機械</v>
      </c>
      <c r="M15" s="162">
        <f>IF('入力SHEET'!$L$6=12,'分析過程'!$C$9*10000,"")</f>
      </c>
      <c r="N15" s="161">
        <f>'分析過程'!S37*10000</f>
        <v>11.184575952912176</v>
      </c>
      <c r="O15" s="159">
        <f t="shared" si="1"/>
        <v>26</v>
      </c>
      <c r="P15" s="161">
        <f>'分析過程'!AG81*10000</f>
        <v>13.833581899858324</v>
      </c>
      <c r="Q15" s="159">
        <f t="shared" si="2"/>
        <v>28</v>
      </c>
      <c r="R15" s="175">
        <f>IF('入力SHEET'!$L$6=12,M15+N15+P15,N15+P15)</f>
        <v>25.0181578527705</v>
      </c>
      <c r="S15" s="166">
        <f t="shared" si="3"/>
        <v>28</v>
      </c>
      <c r="U15" s="153">
        <f>'入力SHEET'!B15</f>
        <v>12</v>
      </c>
      <c r="V15" s="154" t="str">
        <f>'入力SHEET'!C15</f>
        <v>一般機械</v>
      </c>
      <c r="W15" s="164">
        <f>IF('入力SHEET'!$L$6=12,'分析過程'!$C$13*10000,"")</f>
      </c>
      <c r="X15" s="161">
        <f>'分析過程'!Z37*10000</f>
        <v>7.475000108779664</v>
      </c>
      <c r="Y15" s="159">
        <f t="shared" si="6"/>
        <v>26</v>
      </c>
      <c r="Z15" s="161">
        <f>'分析過程'!AN81*10000</f>
        <v>9.245413204899295</v>
      </c>
      <c r="AA15" s="159">
        <f t="shared" si="7"/>
        <v>27</v>
      </c>
      <c r="AB15" s="175">
        <f>IF('入力SHEET'!$L$6=12,W15+X15+Z15,X15+Z15)</f>
        <v>16.72041331367896</v>
      </c>
      <c r="AC15" s="166">
        <f t="shared" si="8"/>
        <v>27</v>
      </c>
    </row>
    <row r="16" spans="1:29" s="93" customFormat="1" ht="24.75" customHeight="1">
      <c r="A16" s="153">
        <f>'入力SHEET'!B16</f>
        <v>13</v>
      </c>
      <c r="B16" s="154" t="str">
        <f>'入力SHEET'!C16</f>
        <v>電気機械</v>
      </c>
      <c r="C16" s="158">
        <f>IF('入力SHEET'!$L$6=13,'入力SHEET'!$L$12*10000,"")</f>
      </c>
      <c r="D16" s="156">
        <f>'分析過程'!L38*10000</f>
        <v>45.6784871350136</v>
      </c>
      <c r="E16" s="159">
        <f t="shared" si="0"/>
        <v>26</v>
      </c>
      <c r="F16" s="169">
        <f>'分析過程'!Z82*10000</f>
        <v>624.1348698351899</v>
      </c>
      <c r="G16" s="159">
        <f t="shared" si="4"/>
        <v>17</v>
      </c>
      <c r="H16" s="171">
        <f>IF('入力SHEET'!$L$6=13,C16+D16+F16,D16+F16)</f>
        <v>669.8133569702035</v>
      </c>
      <c r="I16" s="166">
        <f t="shared" si="5"/>
        <v>21</v>
      </c>
      <c r="K16" s="153">
        <f>'入力SHEET'!B16</f>
        <v>13</v>
      </c>
      <c r="L16" s="154" t="str">
        <f>'入力SHEET'!C16</f>
        <v>電気機械</v>
      </c>
      <c r="M16" s="162">
        <f>IF('入力SHEET'!$L$6=13,'分析過程'!$C$9*10000,"")</f>
      </c>
      <c r="N16" s="161">
        <f>'分析過程'!S38*10000</f>
        <v>10.406977871746522</v>
      </c>
      <c r="O16" s="159">
        <f t="shared" si="1"/>
        <v>28</v>
      </c>
      <c r="P16" s="161">
        <f>'分析過程'!AG82*10000</f>
        <v>142.19730526892553</v>
      </c>
      <c r="Q16" s="159">
        <f t="shared" si="2"/>
        <v>19</v>
      </c>
      <c r="R16" s="175">
        <f>IF('入力SHEET'!$L$6=13,M16+N16+P16,N16+P16)</f>
        <v>152.60428314067207</v>
      </c>
      <c r="S16" s="166">
        <f t="shared" si="3"/>
        <v>23</v>
      </c>
      <c r="U16" s="153">
        <f>'入力SHEET'!B16</f>
        <v>13</v>
      </c>
      <c r="V16" s="154" t="str">
        <f>'入力SHEET'!C16</f>
        <v>電気機械</v>
      </c>
      <c r="W16" s="164">
        <f>IF('入力SHEET'!$L$6=13,'分析過程'!$C$13*10000,"")</f>
      </c>
      <c r="X16" s="161">
        <f>'分析過程'!Z38*10000</f>
        <v>7.327809351045521</v>
      </c>
      <c r="Y16" s="159">
        <f t="shared" si="6"/>
        <v>27</v>
      </c>
      <c r="Z16" s="161">
        <f>'分析過程'!AN82*10000</f>
        <v>100.12462369810318</v>
      </c>
      <c r="AA16" s="159">
        <f t="shared" si="7"/>
        <v>18</v>
      </c>
      <c r="AB16" s="175">
        <f>IF('入力SHEET'!$L$6=13,W16+X16+Z16,X16+Z16)</f>
        <v>107.4524330491487</v>
      </c>
      <c r="AC16" s="166">
        <f t="shared" si="8"/>
        <v>22</v>
      </c>
    </row>
    <row r="17" spans="1:29" s="93" customFormat="1" ht="24.75" customHeight="1">
      <c r="A17" s="153">
        <f>'入力SHEET'!B17</f>
        <v>14</v>
      </c>
      <c r="B17" s="154" t="str">
        <f>'入力SHEET'!C17</f>
        <v>輸送機械</v>
      </c>
      <c r="C17" s="158">
        <f>IF('入力SHEET'!$L$6=14,'入力SHEET'!$L$12*10000,"")</f>
      </c>
      <c r="D17" s="156">
        <f>'分析過程'!L39*10000</f>
        <v>352.8493877102433</v>
      </c>
      <c r="E17" s="159">
        <f t="shared" si="0"/>
        <v>15</v>
      </c>
      <c r="F17" s="169">
        <f>'分析過程'!Z83*10000</f>
        <v>312.36044954605325</v>
      </c>
      <c r="G17" s="159">
        <f t="shared" si="4"/>
        <v>20</v>
      </c>
      <c r="H17" s="171">
        <f>IF('入力SHEET'!$L$6=14,C17+D17+F17,D17+F17)</f>
        <v>665.2098372562966</v>
      </c>
      <c r="I17" s="166">
        <f t="shared" si="5"/>
        <v>22</v>
      </c>
      <c r="K17" s="153">
        <f>'入力SHEET'!B17</f>
        <v>14</v>
      </c>
      <c r="L17" s="154" t="str">
        <f>'入力SHEET'!C17</f>
        <v>輸送機械</v>
      </c>
      <c r="M17" s="162">
        <f>IF('入力SHEET'!$L$6=14,'分析過程'!$C$9*10000,"")</f>
      </c>
      <c r="N17" s="161">
        <f>'分析過程'!S39*10000</f>
        <v>116.74053959165711</v>
      </c>
      <c r="O17" s="159">
        <f t="shared" si="1"/>
        <v>17</v>
      </c>
      <c r="P17" s="161">
        <f>'分析過程'!AG83*10000</f>
        <v>103.34473771864292</v>
      </c>
      <c r="Q17" s="159">
        <f t="shared" si="2"/>
        <v>21</v>
      </c>
      <c r="R17" s="175">
        <f>IF('入力SHEET'!$L$6=14,M17+N17+P17,N17+P17)</f>
        <v>220.08527731030003</v>
      </c>
      <c r="S17" s="166">
        <f t="shared" si="3"/>
        <v>22</v>
      </c>
      <c r="U17" s="153">
        <f>'入力SHEET'!B17</f>
        <v>14</v>
      </c>
      <c r="V17" s="154" t="str">
        <f>'入力SHEET'!C17</f>
        <v>輸送機械</v>
      </c>
      <c r="W17" s="164">
        <f>IF('入力SHEET'!$L$6=14,'分析過程'!$C$13*10000,"")</f>
      </c>
      <c r="X17" s="161">
        <f>'分析過程'!Z39*10000</f>
        <v>80.44404815550955</v>
      </c>
      <c r="Y17" s="159">
        <f t="shared" si="6"/>
        <v>15</v>
      </c>
      <c r="Z17" s="161">
        <f>'分析過程'!AN83*10000</f>
        <v>71.21321425047738</v>
      </c>
      <c r="AA17" s="159">
        <f t="shared" si="7"/>
        <v>21</v>
      </c>
      <c r="AB17" s="175">
        <f>IF('入力SHEET'!$L$6=14,W17+X17+Z17,X17+Z17)</f>
        <v>151.65726240598693</v>
      </c>
      <c r="AC17" s="166">
        <f t="shared" si="8"/>
        <v>20</v>
      </c>
    </row>
    <row r="18" spans="1:29" s="93" customFormat="1" ht="24.75" customHeight="1">
      <c r="A18" s="153">
        <f>'入力SHEET'!B18</f>
        <v>15</v>
      </c>
      <c r="B18" s="154" t="str">
        <f>'入力SHEET'!C18</f>
        <v>精密機械</v>
      </c>
      <c r="C18" s="158">
        <f>IF('入力SHEET'!$L$6=15,'入力SHEET'!$L$12*10000,"")</f>
      </c>
      <c r="D18" s="156">
        <f>'分析過程'!L40*10000</f>
        <v>0.6752429960730795</v>
      </c>
      <c r="E18" s="159">
        <f t="shared" si="0"/>
        <v>31</v>
      </c>
      <c r="F18" s="169">
        <f>'分析過程'!Z84*10000</f>
        <v>9.810877948304544</v>
      </c>
      <c r="G18" s="159">
        <f t="shared" si="4"/>
        <v>31</v>
      </c>
      <c r="H18" s="171">
        <f>IF('入力SHEET'!$L$6=15,C18+D18+F18,D18+F18)</f>
        <v>10.486120944377623</v>
      </c>
      <c r="I18" s="166">
        <f t="shared" si="5"/>
        <v>32</v>
      </c>
      <c r="K18" s="153">
        <f>'入力SHEET'!B18</f>
        <v>15</v>
      </c>
      <c r="L18" s="154" t="str">
        <f>'入力SHEET'!C18</f>
        <v>精密機械</v>
      </c>
      <c r="M18" s="162">
        <f>IF('入力SHEET'!$L$6=15,'分析過程'!$C$9*10000,"")</f>
      </c>
      <c r="N18" s="161">
        <f>'分析過程'!S40*10000</f>
        <v>0.2999298823385112</v>
      </c>
      <c r="O18" s="159">
        <f t="shared" si="1"/>
        <v>30</v>
      </c>
      <c r="P18" s="161">
        <f>'分析過程'!AG84*10000</f>
        <v>4.357802281230934</v>
      </c>
      <c r="Q18" s="159">
        <f t="shared" si="2"/>
        <v>30</v>
      </c>
      <c r="R18" s="175">
        <f>IF('入力SHEET'!$L$6=15,M18+N18+P18,N18+P18)</f>
        <v>4.657732163569445</v>
      </c>
      <c r="S18" s="166">
        <f t="shared" si="3"/>
        <v>30</v>
      </c>
      <c r="U18" s="153">
        <f>'入力SHEET'!B18</f>
        <v>15</v>
      </c>
      <c r="V18" s="154" t="str">
        <f>'入力SHEET'!C18</f>
        <v>精密機械</v>
      </c>
      <c r="W18" s="164">
        <f>IF('入力SHEET'!$L$6=15,'分析過程'!$C$13*10000,"")</f>
      </c>
      <c r="X18" s="161">
        <f>'分析過程'!Z40*10000</f>
        <v>0.1999123865231162</v>
      </c>
      <c r="Y18" s="159">
        <f t="shared" si="6"/>
        <v>30</v>
      </c>
      <c r="Z18" s="161">
        <f>'分析過程'!AN84*10000</f>
        <v>2.9046077277939037</v>
      </c>
      <c r="AA18" s="159">
        <f t="shared" si="7"/>
        <v>30</v>
      </c>
      <c r="AB18" s="175">
        <f>IF('入力SHEET'!$L$6=15,W18+X18+Z18,X18+Z18)</f>
        <v>3.10452011431702</v>
      </c>
      <c r="AC18" s="166">
        <f t="shared" si="8"/>
        <v>30</v>
      </c>
    </row>
    <row r="19" spans="1:29" s="93" customFormat="1" ht="24.75" customHeight="1">
      <c r="A19" s="153">
        <f>'入力SHEET'!B19</f>
        <v>16</v>
      </c>
      <c r="B19" s="154" t="str">
        <f>'入力SHEET'!C19</f>
        <v>その他の製造工業</v>
      </c>
      <c r="C19" s="158">
        <f>IF('入力SHEET'!$L$6=16,'入力SHEET'!$L$12*10000,"")</f>
      </c>
      <c r="D19" s="156">
        <f>'分析過程'!L41*10000</f>
        <v>756.5506712608956</v>
      </c>
      <c r="E19" s="159">
        <f t="shared" si="0"/>
        <v>11</v>
      </c>
      <c r="F19" s="169">
        <f>'分析過程'!Z85*10000</f>
        <v>855.0597097954937</v>
      </c>
      <c r="G19" s="159">
        <f t="shared" si="4"/>
        <v>15</v>
      </c>
      <c r="H19" s="171">
        <f>IF('入力SHEET'!$L$6=16,C19+D19+F19,D19+F19)</f>
        <v>1611.6103810563893</v>
      </c>
      <c r="I19" s="166">
        <f t="shared" si="5"/>
        <v>14</v>
      </c>
      <c r="K19" s="153">
        <f>'入力SHEET'!B19</f>
        <v>16</v>
      </c>
      <c r="L19" s="154" t="str">
        <f>'入力SHEET'!C19</f>
        <v>その他の製造工業</v>
      </c>
      <c r="M19" s="162">
        <f>IF('入力SHEET'!$L$6=16,'分析過程'!$C$9*10000,"")</f>
      </c>
      <c r="N19" s="161">
        <f>'分析過程'!S41*10000</f>
        <v>332.79877673921857</v>
      </c>
      <c r="O19" s="159">
        <f t="shared" si="1"/>
        <v>10</v>
      </c>
      <c r="P19" s="161">
        <f>'分析過程'!AG85*10000</f>
        <v>376.13187889274957</v>
      </c>
      <c r="Q19" s="159">
        <f t="shared" si="2"/>
        <v>16</v>
      </c>
      <c r="R19" s="175">
        <f>IF('入力SHEET'!$L$6=16,M19+N19+P19,N19+P19)</f>
        <v>708.9306556319682</v>
      </c>
      <c r="S19" s="166">
        <f t="shared" si="3"/>
        <v>16</v>
      </c>
      <c r="U19" s="153">
        <f>'入力SHEET'!B19</f>
        <v>16</v>
      </c>
      <c r="V19" s="154" t="str">
        <f>'入力SHEET'!C19</f>
        <v>その他の製造工業</v>
      </c>
      <c r="W19" s="164">
        <f>IF('入力SHEET'!$L$6=16,'分析過程'!$C$13*10000,"")</f>
      </c>
      <c r="X19" s="161">
        <f>'分析過程'!Z41*10000</f>
        <v>215.40728561535028</v>
      </c>
      <c r="Y19" s="159">
        <f t="shared" si="6"/>
        <v>10</v>
      </c>
      <c r="Z19" s="161">
        <f>'分析過程'!AN85*10000</f>
        <v>243.45506272451658</v>
      </c>
      <c r="AA19" s="159">
        <f t="shared" si="7"/>
        <v>15</v>
      </c>
      <c r="AB19" s="175">
        <f>IF('入力SHEET'!$L$6=16,W19+X19+Z19,X19+Z19)</f>
        <v>458.86234833986686</v>
      </c>
      <c r="AC19" s="166">
        <f t="shared" si="8"/>
        <v>14</v>
      </c>
    </row>
    <row r="20" spans="1:29" s="93" customFormat="1" ht="24.75" customHeight="1">
      <c r="A20" s="153">
        <f>'入力SHEET'!B20</f>
        <v>17</v>
      </c>
      <c r="B20" s="154" t="str">
        <f>'入力SHEET'!C20</f>
        <v>建設</v>
      </c>
      <c r="C20" s="158">
        <f>IF('入力SHEET'!$L$6=17,'入力SHEET'!$L$12*10000,"")</f>
      </c>
      <c r="D20" s="156">
        <f>'分析過程'!L42*10000</f>
        <v>935.3193737464771</v>
      </c>
      <c r="E20" s="159">
        <f t="shared" si="0"/>
        <v>7</v>
      </c>
      <c r="F20" s="169">
        <f>'分析過程'!Z86*10000</f>
        <v>1133.1632533693958</v>
      </c>
      <c r="G20" s="159">
        <f t="shared" si="4"/>
        <v>13</v>
      </c>
      <c r="H20" s="171">
        <f>IF('入力SHEET'!$L$6=17,C20+D20+F20,D20+F20)</f>
        <v>2068.4826271158727</v>
      </c>
      <c r="I20" s="166">
        <f t="shared" si="5"/>
        <v>12</v>
      </c>
      <c r="K20" s="153">
        <f>'入力SHEET'!B20</f>
        <v>17</v>
      </c>
      <c r="L20" s="154" t="str">
        <f>'入力SHEET'!C20</f>
        <v>建設</v>
      </c>
      <c r="M20" s="162">
        <f>IF('入力SHEET'!$L$6=17,'分析過程'!$C$9*10000,"")</f>
      </c>
      <c r="N20" s="161">
        <f>'分析過程'!S42*10000</f>
        <v>448.57112663301587</v>
      </c>
      <c r="O20" s="159">
        <f t="shared" si="1"/>
        <v>7</v>
      </c>
      <c r="P20" s="161">
        <f>'分析過程'!AG86*10000</f>
        <v>543.455349574339</v>
      </c>
      <c r="Q20" s="159">
        <f t="shared" si="2"/>
        <v>14</v>
      </c>
      <c r="R20" s="175">
        <f>IF('入力SHEET'!$L$6=17,M20+N20+P20,N20+P20)</f>
        <v>992.0264762073549</v>
      </c>
      <c r="S20" s="166">
        <f t="shared" si="3"/>
        <v>14</v>
      </c>
      <c r="U20" s="153">
        <f>'入力SHEET'!B20</f>
        <v>17</v>
      </c>
      <c r="V20" s="154" t="str">
        <f>'入力SHEET'!C20</f>
        <v>建設</v>
      </c>
      <c r="W20" s="164">
        <f>IF('入力SHEET'!$L$6=17,'分析過程'!$C$13*10000,"")</f>
      </c>
      <c r="X20" s="161">
        <f>'分析過程'!Z42*10000</f>
        <v>328.2643015080982</v>
      </c>
      <c r="Y20" s="159">
        <f t="shared" si="6"/>
        <v>7</v>
      </c>
      <c r="Z20" s="161">
        <f>'分析過程'!AN86*10000</f>
        <v>397.7005654998599</v>
      </c>
      <c r="AA20" s="159">
        <f t="shared" si="7"/>
        <v>12</v>
      </c>
      <c r="AB20" s="175">
        <f>IF('入力SHEET'!$L$6=17,W20+X20+Z20,X20+Z20)</f>
        <v>725.9648670079581</v>
      </c>
      <c r="AC20" s="166">
        <f t="shared" si="8"/>
        <v>12</v>
      </c>
    </row>
    <row r="21" spans="1:29" s="93" customFormat="1" ht="24.75" customHeight="1">
      <c r="A21" s="153">
        <f>'入力SHEET'!B21</f>
        <v>18</v>
      </c>
      <c r="B21" s="154" t="str">
        <f>'入力SHEET'!C21</f>
        <v>電力･ｶﾞｽ･熱供給</v>
      </c>
      <c r="C21" s="158">
        <f>IF('入力SHEET'!$L$6=18,'入力SHEET'!$L$12*10000,"")</f>
      </c>
      <c r="D21" s="156">
        <f>'分析過程'!L43*10000</f>
        <v>543.7254040752658</v>
      </c>
      <c r="E21" s="159">
        <f t="shared" si="0"/>
        <v>13</v>
      </c>
      <c r="F21" s="169">
        <f>'分析過程'!Z87*10000</f>
        <v>1415.7536856672095</v>
      </c>
      <c r="G21" s="159">
        <f t="shared" si="4"/>
        <v>12</v>
      </c>
      <c r="H21" s="171">
        <f>IF('入力SHEET'!$L$6=18,C21+D21+F21,D21+F21)</f>
        <v>1959.4790897424755</v>
      </c>
      <c r="I21" s="166">
        <f t="shared" si="5"/>
        <v>13</v>
      </c>
      <c r="K21" s="153">
        <f>'入力SHEET'!B21</f>
        <v>18</v>
      </c>
      <c r="L21" s="154" t="str">
        <f>'入力SHEET'!C21</f>
        <v>電力･ｶﾞｽ･熱供給</v>
      </c>
      <c r="M21" s="162">
        <f>IF('入力SHEET'!$L$6=18,'分析過程'!$C$9*10000,"")</f>
      </c>
      <c r="N21" s="161">
        <f>'分析過程'!S43*10000</f>
        <v>300.5199688495421</v>
      </c>
      <c r="O21" s="159">
        <f t="shared" si="1"/>
        <v>12</v>
      </c>
      <c r="P21" s="161">
        <f>'分析過程'!AG87*10000</f>
        <v>782.4947120852921</v>
      </c>
      <c r="Q21" s="159">
        <f t="shared" si="2"/>
        <v>12</v>
      </c>
      <c r="R21" s="175">
        <f>IF('入力SHEET'!$L$6=18,M21+N21+P21,N21+P21)</f>
        <v>1083.0146809348344</v>
      </c>
      <c r="S21" s="166">
        <f t="shared" si="3"/>
        <v>12</v>
      </c>
      <c r="U21" s="153">
        <f>'入力SHEET'!B21</f>
        <v>18</v>
      </c>
      <c r="V21" s="154" t="str">
        <f>'入力SHEET'!C21</f>
        <v>電力･ｶﾞｽ･熱供給</v>
      </c>
      <c r="W21" s="164">
        <f>IF('入力SHEET'!$L$6=18,'分析過程'!$C$13*10000,"")</f>
      </c>
      <c r="X21" s="161">
        <f>'分析過程'!Z43*10000</f>
        <v>53.848601758312896</v>
      </c>
      <c r="Y21" s="159">
        <f t="shared" si="6"/>
        <v>18</v>
      </c>
      <c r="Z21" s="161">
        <f>'分析過程'!AN87*10000</f>
        <v>140.21113568716783</v>
      </c>
      <c r="AA21" s="159">
        <f t="shared" si="7"/>
        <v>17</v>
      </c>
      <c r="AB21" s="175">
        <f>IF('入力SHEET'!$L$6=18,W21+X21+Z21,X21+Z21)</f>
        <v>194.05973744548072</v>
      </c>
      <c r="AC21" s="166">
        <f t="shared" si="8"/>
        <v>19</v>
      </c>
    </row>
    <row r="22" spans="1:29" s="93" customFormat="1" ht="24.75" customHeight="1">
      <c r="A22" s="153">
        <f>'入力SHEET'!B22</f>
        <v>19</v>
      </c>
      <c r="B22" s="154" t="str">
        <f>'入力SHEET'!C22</f>
        <v>水道･廃棄物処理</v>
      </c>
      <c r="C22" s="158">
        <f>IF('入力SHEET'!$L$6=19,'入力SHEET'!$L$12*10000,"")</f>
      </c>
      <c r="D22" s="156">
        <f>'分析過程'!L44*10000</f>
        <v>147.2734810151473</v>
      </c>
      <c r="E22" s="159">
        <f t="shared" si="0"/>
        <v>21</v>
      </c>
      <c r="F22" s="169">
        <f>'分析過程'!Z88*10000</f>
        <v>1027.060843951513</v>
      </c>
      <c r="G22" s="159">
        <f t="shared" si="4"/>
        <v>14</v>
      </c>
      <c r="H22" s="171">
        <f>IF('入力SHEET'!$L$6=19,C22+D22+F22,D22+F22)</f>
        <v>1174.3343249666605</v>
      </c>
      <c r="I22" s="166">
        <f t="shared" si="5"/>
        <v>17</v>
      </c>
      <c r="K22" s="153">
        <f>'入力SHEET'!B22</f>
        <v>19</v>
      </c>
      <c r="L22" s="154" t="str">
        <f>'入力SHEET'!C22</f>
        <v>水道･廃棄物処理</v>
      </c>
      <c r="M22" s="162">
        <f>IF('入力SHEET'!$L$6=19,'分析過程'!$C$9*10000,"")</f>
      </c>
      <c r="N22" s="161">
        <f>'分析過程'!S44*10000</f>
        <v>95.42373791918347</v>
      </c>
      <c r="O22" s="159">
        <f t="shared" si="1"/>
        <v>19</v>
      </c>
      <c r="P22" s="161">
        <f>'分析過程'!AG88*10000</f>
        <v>665.4693304234759</v>
      </c>
      <c r="Q22" s="159">
        <f t="shared" si="2"/>
        <v>13</v>
      </c>
      <c r="R22" s="175">
        <f>IF('入力SHEET'!$L$6=19,M22+N22+P22,N22+P22)</f>
        <v>760.8930683426594</v>
      </c>
      <c r="S22" s="166">
        <f t="shared" si="3"/>
        <v>15</v>
      </c>
      <c r="U22" s="153">
        <f>'入力SHEET'!B22</f>
        <v>19</v>
      </c>
      <c r="V22" s="154" t="str">
        <f>'入力SHEET'!C22</f>
        <v>水道･廃棄物処理</v>
      </c>
      <c r="W22" s="164">
        <f>IF('入力SHEET'!$L$6=19,'分析過程'!$C$13*10000,"")</f>
      </c>
      <c r="X22" s="161">
        <f>'分析過程'!Z44*10000</f>
        <v>49.04528263352256</v>
      </c>
      <c r="Y22" s="159">
        <f t="shared" si="6"/>
        <v>19</v>
      </c>
      <c r="Z22" s="161">
        <f>'分析過程'!AN88*10000</f>
        <v>342.0336711416856</v>
      </c>
      <c r="AA22" s="159">
        <f t="shared" si="7"/>
        <v>13</v>
      </c>
      <c r="AB22" s="175">
        <f>IF('入力SHEET'!$L$6=19,W22+X22+Z22,X22+Z22)</f>
        <v>391.07895377520816</v>
      </c>
      <c r="AC22" s="166">
        <f t="shared" si="8"/>
        <v>15</v>
      </c>
    </row>
    <row r="23" spans="1:29" s="93" customFormat="1" ht="24.75" customHeight="1">
      <c r="A23" s="153">
        <f>'入力SHEET'!B23</f>
        <v>20</v>
      </c>
      <c r="B23" s="154" t="str">
        <f>'入力SHEET'!C23</f>
        <v>商業</v>
      </c>
      <c r="C23" s="158">
        <f>IF('入力SHEET'!$L$6=20,'入力SHEET'!$L$12*10000,"")</f>
      </c>
      <c r="D23" s="156">
        <f>'分析過程'!L45*10000</f>
        <v>4917.1075192698345</v>
      </c>
      <c r="E23" s="159">
        <f t="shared" si="0"/>
        <v>4</v>
      </c>
      <c r="F23" s="169">
        <f>'分析過程'!Z89*10000</f>
        <v>10382.913355904759</v>
      </c>
      <c r="G23" s="159">
        <f t="shared" si="4"/>
        <v>3</v>
      </c>
      <c r="H23" s="171">
        <f>IF('入力SHEET'!$L$6=20,C23+D23+F23,D23+F23)</f>
        <v>15300.020875174592</v>
      </c>
      <c r="I23" s="166">
        <f t="shared" si="5"/>
        <v>3</v>
      </c>
      <c r="K23" s="153">
        <f>'入力SHEET'!B23</f>
        <v>20</v>
      </c>
      <c r="L23" s="154" t="str">
        <f>'入力SHEET'!C23</f>
        <v>商業</v>
      </c>
      <c r="M23" s="162">
        <f>IF('入力SHEET'!$L$6=20,'分析過程'!$C$9*10000,"")</f>
      </c>
      <c r="N23" s="161">
        <f>'分析過程'!S45*10000</f>
        <v>3492.0843409341132</v>
      </c>
      <c r="O23" s="159">
        <f t="shared" si="1"/>
        <v>3</v>
      </c>
      <c r="P23" s="161">
        <f>'分析過程'!AG89*10000</f>
        <v>7373.849158542462</v>
      </c>
      <c r="Q23" s="159">
        <f t="shared" si="2"/>
        <v>3</v>
      </c>
      <c r="R23" s="175">
        <f>IF('入力SHEET'!$L$6=20,M23+N23+P23,N23+P23)</f>
        <v>10865.933499476574</v>
      </c>
      <c r="S23" s="166">
        <f t="shared" si="3"/>
        <v>3</v>
      </c>
      <c r="U23" s="153">
        <f>'入力SHEET'!B23</f>
        <v>20</v>
      </c>
      <c r="V23" s="154" t="str">
        <f>'入力SHEET'!C23</f>
        <v>商業</v>
      </c>
      <c r="W23" s="164">
        <f>IF('入力SHEET'!$L$6=20,'分析過程'!$C$13*10000,"")</f>
      </c>
      <c r="X23" s="161">
        <f>'分析過程'!Z45*10000</f>
        <v>2431.974503485184</v>
      </c>
      <c r="Y23" s="159">
        <f t="shared" si="6"/>
        <v>2</v>
      </c>
      <c r="Z23" s="161">
        <f>'分析過程'!AN89*10000</f>
        <v>5135.33219570635</v>
      </c>
      <c r="AA23" s="159">
        <f t="shared" si="7"/>
        <v>1</v>
      </c>
      <c r="AB23" s="175">
        <f>IF('入力SHEET'!$L$6=20,W23+X23+Z23,X23+Z23)</f>
        <v>7567.306699191534</v>
      </c>
      <c r="AC23" s="166">
        <f t="shared" si="8"/>
        <v>2</v>
      </c>
    </row>
    <row r="24" spans="1:29" s="93" customFormat="1" ht="24.75" customHeight="1">
      <c r="A24" s="153">
        <f>'入力SHEET'!B24</f>
        <v>21</v>
      </c>
      <c r="B24" s="154" t="str">
        <f>'入力SHEET'!C24</f>
        <v>金融･保険</v>
      </c>
      <c r="C24" s="158">
        <f>IF('入力SHEET'!$L$6=21,'入力SHEET'!$L$12*10000,"")</f>
      </c>
      <c r="D24" s="156">
        <f>'分析過程'!L46*10000</f>
        <v>6693.453379950825</v>
      </c>
      <c r="E24" s="159">
        <f t="shared" si="0"/>
        <v>2</v>
      </c>
      <c r="F24" s="169">
        <f>'分析過程'!Z90*10000</f>
        <v>5844.760074564397</v>
      </c>
      <c r="G24" s="159">
        <f t="shared" si="4"/>
        <v>4</v>
      </c>
      <c r="H24" s="171">
        <f>IF('入力SHEET'!$L$6=21,C24+D24+F24,D24+F24)</f>
        <v>12538.213454515222</v>
      </c>
      <c r="I24" s="166">
        <f t="shared" si="5"/>
        <v>5</v>
      </c>
      <c r="K24" s="153">
        <f>'入力SHEET'!B24</f>
        <v>21</v>
      </c>
      <c r="L24" s="154" t="str">
        <f>'入力SHEET'!C24</f>
        <v>金融･保険</v>
      </c>
      <c r="M24" s="162">
        <f>IF('入力SHEET'!$L$6=21,'分析過程'!$C$9*10000,"")</f>
      </c>
      <c r="N24" s="161">
        <f>'分析過程'!S46*10000</f>
        <v>4565.48646859606</v>
      </c>
      <c r="O24" s="159">
        <f t="shared" si="1"/>
        <v>2</v>
      </c>
      <c r="P24" s="161">
        <f>'分析過程'!AG90*10000</f>
        <v>3986.607737127511</v>
      </c>
      <c r="Q24" s="159">
        <f t="shared" si="2"/>
        <v>4</v>
      </c>
      <c r="R24" s="175">
        <f>IF('入力SHEET'!$L$6=21,M24+N24+P24,N24+P24)</f>
        <v>8552.094205723572</v>
      </c>
      <c r="S24" s="166">
        <f t="shared" si="3"/>
        <v>4</v>
      </c>
      <c r="U24" s="153">
        <f>'入力SHEET'!B24</f>
        <v>21</v>
      </c>
      <c r="V24" s="154" t="str">
        <f>'入力SHEET'!C24</f>
        <v>金融･保険</v>
      </c>
      <c r="W24" s="164">
        <f>IF('入力SHEET'!$L$6=21,'分析過程'!$C$13*10000,"")</f>
      </c>
      <c r="X24" s="161">
        <f>'分析過程'!Z46*10000</f>
        <v>2205.8805411544845</v>
      </c>
      <c r="Y24" s="159">
        <f t="shared" si="6"/>
        <v>3</v>
      </c>
      <c r="Z24" s="161">
        <f>'分析過程'!AN90*10000</f>
        <v>1926.1869448163627</v>
      </c>
      <c r="AA24" s="159">
        <f t="shared" si="7"/>
        <v>7</v>
      </c>
      <c r="AB24" s="175">
        <f>IF('入力SHEET'!$L$6=21,W24+X24+Z24,X24+Z24)</f>
        <v>4132.067485970847</v>
      </c>
      <c r="AC24" s="166">
        <f t="shared" si="8"/>
        <v>3</v>
      </c>
    </row>
    <row r="25" spans="1:29" s="93" customFormat="1" ht="24.75" customHeight="1">
      <c r="A25" s="153">
        <f>'入力SHEET'!B25</f>
        <v>22</v>
      </c>
      <c r="B25" s="154" t="str">
        <f>'入力SHEET'!C25</f>
        <v>不動産</v>
      </c>
      <c r="C25" s="158">
        <f>IF('入力SHEET'!$L$6=22,'入力SHEET'!$L$12*10000,"")</f>
      </c>
      <c r="D25" s="156">
        <f>'分析過程'!L47*10000</f>
        <v>459.44279639118963</v>
      </c>
      <c r="E25" s="159">
        <f t="shared" si="0"/>
        <v>14</v>
      </c>
      <c r="F25" s="169">
        <f>'分析過程'!Z91*10000</f>
        <v>16293.483006071208</v>
      </c>
      <c r="G25" s="159">
        <f t="shared" si="4"/>
        <v>1</v>
      </c>
      <c r="H25" s="171">
        <f>IF('入力SHEET'!$L$6=22,C25+D25+F25,D25+F25)</f>
        <v>16752.9258024624</v>
      </c>
      <c r="I25" s="166">
        <f t="shared" si="5"/>
        <v>2</v>
      </c>
      <c r="K25" s="153">
        <f>'入力SHEET'!B25</f>
        <v>22</v>
      </c>
      <c r="L25" s="154" t="str">
        <f>'入力SHEET'!C25</f>
        <v>不動産</v>
      </c>
      <c r="M25" s="162">
        <f>IF('入力SHEET'!$L$6=22,'分析過程'!$C$9*10000,"")</f>
      </c>
      <c r="N25" s="161">
        <f>'分析過程'!S47*10000</f>
        <v>398.3205469194005</v>
      </c>
      <c r="O25" s="159">
        <f t="shared" si="1"/>
        <v>8</v>
      </c>
      <c r="P25" s="161">
        <f>'分析過程'!AG91*10000</f>
        <v>14125.869669037857</v>
      </c>
      <c r="Q25" s="159">
        <f t="shared" si="2"/>
        <v>1</v>
      </c>
      <c r="R25" s="175">
        <f>IF('入力SHEET'!$L$6=22,M25+N25+P25,N25+P25)</f>
        <v>14524.190215957256</v>
      </c>
      <c r="S25" s="166">
        <f t="shared" si="3"/>
        <v>2</v>
      </c>
      <c r="U25" s="153">
        <f>'入力SHEET'!B25</f>
        <v>22</v>
      </c>
      <c r="V25" s="154" t="str">
        <f>'入力SHEET'!C25</f>
        <v>不動産</v>
      </c>
      <c r="W25" s="164">
        <f>IF('入力SHEET'!$L$6=22,'分析過程'!$C$13*10000,"")</f>
      </c>
      <c r="X25" s="161">
        <f>'分析過程'!Z47*10000</f>
        <v>15.15262491752072</v>
      </c>
      <c r="Y25" s="159">
        <f t="shared" si="6"/>
        <v>24</v>
      </c>
      <c r="Z25" s="161">
        <f>'分析過程'!AN91*10000</f>
        <v>537.3662151855416</v>
      </c>
      <c r="AA25" s="159">
        <f t="shared" si="7"/>
        <v>11</v>
      </c>
      <c r="AB25" s="175">
        <f>IF('入力SHEET'!$L$6=22,W25+X25+Z25,X25+Z25)</f>
        <v>552.5188401030623</v>
      </c>
      <c r="AC25" s="166">
        <f t="shared" si="8"/>
        <v>13</v>
      </c>
    </row>
    <row r="26" spans="1:29" s="93" customFormat="1" ht="24.75" customHeight="1">
      <c r="A26" s="153">
        <f>'入力SHEET'!B26</f>
        <v>23</v>
      </c>
      <c r="B26" s="154" t="str">
        <f>'入力SHEET'!C26</f>
        <v>運輸</v>
      </c>
      <c r="C26" s="158">
        <f>IF('入力SHEET'!$L$6=23,'入力SHEET'!$L$12*10000,"")</f>
      </c>
      <c r="D26" s="156">
        <f>'分析過程'!L48*10000</f>
        <v>2916.7446849048906</v>
      </c>
      <c r="E26" s="159">
        <f t="shared" si="0"/>
        <v>6</v>
      </c>
      <c r="F26" s="169">
        <f>'分析過程'!Z92*10000</f>
        <v>4733.073683691357</v>
      </c>
      <c r="G26" s="159">
        <f t="shared" si="4"/>
        <v>6</v>
      </c>
      <c r="H26" s="171">
        <f>IF('入力SHEET'!$L$6=23,C26+D26+F26,D26+F26)</f>
        <v>7649.818368596247</v>
      </c>
      <c r="I26" s="166">
        <f t="shared" si="5"/>
        <v>8</v>
      </c>
      <c r="K26" s="153">
        <f>'入力SHEET'!B26</f>
        <v>23</v>
      </c>
      <c r="L26" s="154" t="str">
        <f>'入力SHEET'!C26</f>
        <v>運輸</v>
      </c>
      <c r="M26" s="162">
        <f>IF('入力SHEET'!$L$6=23,'分析過程'!$C$9*10000,"")</f>
      </c>
      <c r="N26" s="161">
        <f>'分析過程'!S48*10000</f>
        <v>1866.353537267107</v>
      </c>
      <c r="O26" s="159">
        <f t="shared" si="1"/>
        <v>6</v>
      </c>
      <c r="P26" s="161">
        <f>'分析過程'!AG92*10000</f>
        <v>3028.578009388321</v>
      </c>
      <c r="Q26" s="159">
        <f t="shared" si="2"/>
        <v>6</v>
      </c>
      <c r="R26" s="175">
        <f>IF('入力SHEET'!$L$6=23,M26+N26+P26,N26+P26)</f>
        <v>4894.931546655428</v>
      </c>
      <c r="S26" s="166">
        <f t="shared" si="3"/>
        <v>7</v>
      </c>
      <c r="U26" s="153">
        <f>'入力SHEET'!B26</f>
        <v>23</v>
      </c>
      <c r="V26" s="154" t="str">
        <f>'入力SHEET'!C26</f>
        <v>運輸</v>
      </c>
      <c r="W26" s="164">
        <f>IF('入力SHEET'!$L$6=23,'分析過程'!$C$13*10000,"")</f>
      </c>
      <c r="X26" s="161">
        <f>'分析過程'!Z48*10000</f>
        <v>1336.4997721153793</v>
      </c>
      <c r="Y26" s="159">
        <f t="shared" si="6"/>
        <v>5</v>
      </c>
      <c r="Z26" s="161">
        <f>'分析過程'!AN92*10000</f>
        <v>2168.7712100399585</v>
      </c>
      <c r="AA26" s="159">
        <f t="shared" si="7"/>
        <v>4</v>
      </c>
      <c r="AB26" s="175">
        <f>IF('入力SHEET'!$L$6=23,W26+X26+Z26,X26+Z26)</f>
        <v>3505.270982155338</v>
      </c>
      <c r="AC26" s="166">
        <f t="shared" si="8"/>
        <v>6</v>
      </c>
    </row>
    <row r="27" spans="1:29" s="93" customFormat="1" ht="24.75" customHeight="1">
      <c r="A27" s="153">
        <f>'入力SHEET'!B27</f>
        <v>24</v>
      </c>
      <c r="B27" s="154" t="str">
        <f>'入力SHEET'!C27</f>
        <v>通信･放送</v>
      </c>
      <c r="C27" s="158">
        <f>IF('入力SHEET'!$L$6=24,'入力SHEET'!$L$12*10000,"")</f>
      </c>
      <c r="D27" s="156">
        <f>'分析過程'!L49*10000</f>
        <v>627.1256884053639</v>
      </c>
      <c r="E27" s="159">
        <f t="shared" si="0"/>
        <v>12</v>
      </c>
      <c r="F27" s="169">
        <f>'分析過程'!Z93*10000</f>
        <v>3395.7460602691285</v>
      </c>
      <c r="G27" s="159">
        <f t="shared" si="4"/>
        <v>9</v>
      </c>
      <c r="H27" s="171">
        <f>IF('入力SHEET'!$L$6=24,C27+D27+F27,D27+F27)</f>
        <v>4022.8717486744927</v>
      </c>
      <c r="I27" s="166">
        <f t="shared" si="5"/>
        <v>9</v>
      </c>
      <c r="K27" s="153">
        <f>'入力SHEET'!B27</f>
        <v>24</v>
      </c>
      <c r="L27" s="154" t="str">
        <f>'入力SHEET'!C27</f>
        <v>通信･放送</v>
      </c>
      <c r="M27" s="162">
        <f>IF('入力SHEET'!$L$6=24,'分析過程'!$C$9*10000,"")</f>
      </c>
      <c r="N27" s="161">
        <f>'分析過程'!S49*10000</f>
        <v>355.1825355081764</v>
      </c>
      <c r="O27" s="159">
        <f t="shared" si="1"/>
        <v>9</v>
      </c>
      <c r="P27" s="161">
        <f>'分析過程'!AG93*10000</f>
        <v>1923.2343977092519</v>
      </c>
      <c r="Q27" s="159">
        <f t="shared" si="2"/>
        <v>10</v>
      </c>
      <c r="R27" s="175">
        <f>IF('入力SHEET'!$L$6=24,M27+N27+P27,N27+P27)</f>
        <v>2278.4169332174283</v>
      </c>
      <c r="S27" s="166">
        <f t="shared" si="3"/>
        <v>11</v>
      </c>
      <c r="U27" s="153">
        <f>'入力SHEET'!B27</f>
        <v>24</v>
      </c>
      <c r="V27" s="154" t="str">
        <f>'入力SHEET'!C27</f>
        <v>通信･放送</v>
      </c>
      <c r="W27" s="164">
        <f>IF('入力SHEET'!$L$6=24,'分析過程'!$C$13*10000,"")</f>
      </c>
      <c r="X27" s="161">
        <f>'分析過程'!Z49*10000</f>
        <v>159.81208212368446</v>
      </c>
      <c r="Y27" s="159">
        <f t="shared" si="6"/>
        <v>11</v>
      </c>
      <c r="Z27" s="161">
        <f>'分析過程'!AN93*10000</f>
        <v>865.3468647326844</v>
      </c>
      <c r="AA27" s="159">
        <f t="shared" si="7"/>
        <v>8</v>
      </c>
      <c r="AB27" s="175">
        <f>IF('入力SHEET'!$L$6=24,W27+X27+Z27,X27+Z27)</f>
        <v>1025.1589468563689</v>
      </c>
      <c r="AC27" s="166">
        <f t="shared" si="8"/>
        <v>9</v>
      </c>
    </row>
    <row r="28" spans="1:29" s="93" customFormat="1" ht="24.75" customHeight="1">
      <c r="A28" s="153">
        <f>'入力SHEET'!B28</f>
        <v>25</v>
      </c>
      <c r="B28" s="154" t="str">
        <f>'入力SHEET'!C28</f>
        <v>公務</v>
      </c>
      <c r="C28" s="158">
        <f>IF('入力SHEET'!$L$6=25,'入力SHEET'!$L$12*10000,"")</f>
      </c>
      <c r="D28" s="156">
        <f>'分析過程'!L50*10000</f>
        <v>155.9749379433283</v>
      </c>
      <c r="E28" s="159">
        <f t="shared" si="0"/>
        <v>20</v>
      </c>
      <c r="F28" s="169">
        <f>'分析過程'!Z94*10000</f>
        <v>409.1331423091821</v>
      </c>
      <c r="G28" s="159">
        <f t="shared" si="4"/>
        <v>19</v>
      </c>
      <c r="H28" s="171">
        <f>IF('入力SHEET'!$L$6=25,C28+D28+F28,D28+F28)</f>
        <v>565.1080802525105</v>
      </c>
      <c r="I28" s="166">
        <f t="shared" si="5"/>
        <v>23</v>
      </c>
      <c r="K28" s="153">
        <f>'入力SHEET'!B28</f>
        <v>25</v>
      </c>
      <c r="L28" s="154" t="str">
        <f>'入力SHEET'!C28</f>
        <v>公務</v>
      </c>
      <c r="M28" s="162">
        <f>IF('入力SHEET'!$L$6=25,'分析過程'!$C$9*10000,"")</f>
      </c>
      <c r="N28" s="161">
        <f>'分析過程'!S50*10000</f>
        <v>99.30031984952622</v>
      </c>
      <c r="O28" s="159">
        <f t="shared" si="1"/>
        <v>18</v>
      </c>
      <c r="P28" s="161">
        <f>'分析過程'!AG94*10000</f>
        <v>260.4716656922466</v>
      </c>
      <c r="Q28" s="159">
        <f t="shared" si="2"/>
        <v>17</v>
      </c>
      <c r="R28" s="175">
        <f>IF('入力SHEET'!$L$6=25,M28+N28+P28,N28+P28)</f>
        <v>359.7719855417728</v>
      </c>
      <c r="S28" s="166">
        <f t="shared" si="3"/>
        <v>19</v>
      </c>
      <c r="U28" s="153">
        <f>'入力SHEET'!B28</f>
        <v>25</v>
      </c>
      <c r="V28" s="154" t="str">
        <f>'入力SHEET'!C28</f>
        <v>公務</v>
      </c>
      <c r="W28" s="164">
        <f>IF('入力SHEET'!$L$6=25,'分析過程'!$C$13*10000,"")</f>
      </c>
      <c r="X28" s="161">
        <f>'分析過程'!Z50*10000</f>
        <v>95.38996948674523</v>
      </c>
      <c r="Y28" s="159">
        <f t="shared" si="6"/>
        <v>13</v>
      </c>
      <c r="Z28" s="161">
        <f>'分析過程'!AN94*10000</f>
        <v>250.2145439228779</v>
      </c>
      <c r="AA28" s="159">
        <f t="shared" si="7"/>
        <v>14</v>
      </c>
      <c r="AB28" s="175">
        <f>IF('入力SHEET'!$L$6=25,W28+X28+Z28,X28+Z28)</f>
        <v>345.6045134096231</v>
      </c>
      <c r="AC28" s="166">
        <f t="shared" si="8"/>
        <v>16</v>
      </c>
    </row>
    <row r="29" spans="1:29" s="93" customFormat="1" ht="24.75" customHeight="1">
      <c r="A29" s="153">
        <f>'入力SHEET'!B29</f>
        <v>26</v>
      </c>
      <c r="B29" s="154" t="str">
        <f>'入力SHEET'!C29</f>
        <v>教育･研究</v>
      </c>
      <c r="C29" s="158">
        <f>IF('入力SHEET'!$L$6=26,'入力SHEET'!$L$12*10000,"")</f>
      </c>
      <c r="D29" s="156">
        <f>'分析過程'!L51*10000</f>
        <v>338.28181682484285</v>
      </c>
      <c r="E29" s="159">
        <f t="shared" si="0"/>
        <v>16</v>
      </c>
      <c r="F29" s="169">
        <f>'分析過程'!Z95*10000</f>
        <v>3076.2071482581105</v>
      </c>
      <c r="G29" s="159">
        <f t="shared" si="4"/>
        <v>10</v>
      </c>
      <c r="H29" s="171">
        <f>IF('入力SHEET'!$L$6=26,C29+D29+F29,D29+F29)</f>
        <v>3414.488965082953</v>
      </c>
      <c r="I29" s="166">
        <f t="shared" si="5"/>
        <v>11</v>
      </c>
      <c r="K29" s="153">
        <f>'入力SHEET'!B29</f>
        <v>26</v>
      </c>
      <c r="L29" s="154" t="str">
        <f>'入力SHEET'!C29</f>
        <v>教育･研究</v>
      </c>
      <c r="M29" s="162">
        <f>IF('入力SHEET'!$L$6=26,'分析過程'!$C$9*10000,"")</f>
      </c>
      <c r="N29" s="161">
        <f>'分析過程'!S51*10000</f>
        <v>267.78892226846057</v>
      </c>
      <c r="O29" s="159">
        <f t="shared" si="1"/>
        <v>14</v>
      </c>
      <c r="P29" s="161">
        <f>'分析過程'!AG95*10000</f>
        <v>2435.1713746799214</v>
      </c>
      <c r="Q29" s="159">
        <f t="shared" si="2"/>
        <v>8</v>
      </c>
      <c r="R29" s="175">
        <f>IF('入力SHEET'!$L$6=26,M29+N29+P29,N29+P29)</f>
        <v>2702.960296948382</v>
      </c>
      <c r="S29" s="166">
        <f t="shared" si="3"/>
        <v>9</v>
      </c>
      <c r="U29" s="153">
        <f>'入力SHEET'!B29</f>
        <v>26</v>
      </c>
      <c r="V29" s="154" t="str">
        <f>'入力SHEET'!C29</f>
        <v>教育･研究</v>
      </c>
      <c r="W29" s="164">
        <f>IF('入力SHEET'!$L$6=26,'分析過程'!$C$13*10000,"")</f>
      </c>
      <c r="X29" s="161">
        <f>'分析過程'!Z51*10000</f>
        <v>246.44422446925586</v>
      </c>
      <c r="Y29" s="159">
        <f t="shared" si="6"/>
        <v>8</v>
      </c>
      <c r="Z29" s="161">
        <f>'分析過程'!AN95*10000</f>
        <v>2241.0707500480016</v>
      </c>
      <c r="AA29" s="159">
        <f t="shared" si="7"/>
        <v>3</v>
      </c>
      <c r="AB29" s="175">
        <f>IF('入力SHEET'!$L$6=26,W29+X29+Z29,X29+Z29)</f>
        <v>2487.5149745172575</v>
      </c>
      <c r="AC29" s="166">
        <f t="shared" si="8"/>
        <v>7</v>
      </c>
    </row>
    <row r="30" spans="1:29" s="93" customFormat="1" ht="24.75" customHeight="1">
      <c r="A30" s="153">
        <f>'入力SHEET'!B30</f>
        <v>27</v>
      </c>
      <c r="B30" s="154" t="str">
        <f>'入力SHEET'!C30</f>
        <v>医療･保健･社会保障</v>
      </c>
      <c r="C30" s="158">
        <f>IF('入力SHEET'!$L$6=27,'入力SHEET'!$L$12*10000,"")</f>
      </c>
      <c r="D30" s="156">
        <f>'分析過程'!L52*10000</f>
        <v>0.3969405095645777</v>
      </c>
      <c r="E30" s="159">
        <f t="shared" si="0"/>
        <v>32</v>
      </c>
      <c r="F30" s="169">
        <f>'分析過程'!Z96*10000</f>
        <v>3936.701528206132</v>
      </c>
      <c r="G30" s="159">
        <f t="shared" si="4"/>
        <v>8</v>
      </c>
      <c r="H30" s="171">
        <f>IF('入力SHEET'!$L$6=27,C30+D30+F30,D30+F30)</f>
        <v>3937.0984687156965</v>
      </c>
      <c r="I30" s="166">
        <f t="shared" si="5"/>
        <v>10</v>
      </c>
      <c r="K30" s="153">
        <f>'入力SHEET'!B30</f>
        <v>27</v>
      </c>
      <c r="L30" s="154" t="str">
        <f>'入力SHEET'!C30</f>
        <v>医療･保健･社会保障</v>
      </c>
      <c r="M30" s="162">
        <f>IF('入力SHEET'!$L$6=27,'分析過程'!$C$9*10000,"")</f>
      </c>
      <c r="N30" s="161">
        <f>'分析過程'!S52*10000</f>
        <v>0.2395328117695127</v>
      </c>
      <c r="O30" s="159">
        <f t="shared" si="1"/>
        <v>31</v>
      </c>
      <c r="P30" s="161">
        <f>'分析過程'!AG96*10000</f>
        <v>2375.593227264555</v>
      </c>
      <c r="Q30" s="159">
        <f t="shared" si="2"/>
        <v>9</v>
      </c>
      <c r="R30" s="175">
        <f>IF('入力SHEET'!$L$6=27,M30+N30+P30,N30+P30)</f>
        <v>2375.8327600763246</v>
      </c>
      <c r="S30" s="166">
        <f t="shared" si="3"/>
        <v>10</v>
      </c>
      <c r="U30" s="153">
        <f>'入力SHEET'!B30</f>
        <v>27</v>
      </c>
      <c r="V30" s="154" t="str">
        <f>'入力SHEET'!C30</f>
        <v>医療･保健･社会保障</v>
      </c>
      <c r="W30" s="164">
        <f>IF('入力SHEET'!$L$6=27,'分析過程'!$C$13*10000,"")</f>
      </c>
      <c r="X30" s="161">
        <f>'分析過程'!Z52*10000</f>
        <v>0.1992645470775611</v>
      </c>
      <c r="Y30" s="159">
        <f t="shared" si="6"/>
        <v>31</v>
      </c>
      <c r="Z30" s="161">
        <f>'分析過程'!AN96*10000</f>
        <v>1976.228246036242</v>
      </c>
      <c r="AA30" s="159">
        <f t="shared" si="7"/>
        <v>5</v>
      </c>
      <c r="AB30" s="175">
        <f>IF('入力SHEET'!$L$6=27,W30+X30+Z30,X30+Z30)</f>
        <v>1976.4275105833194</v>
      </c>
      <c r="AC30" s="166">
        <f t="shared" si="8"/>
        <v>8</v>
      </c>
    </row>
    <row r="31" spans="1:29" s="93" customFormat="1" ht="24.75" customHeight="1">
      <c r="A31" s="153">
        <f>'入力SHEET'!B31</f>
        <v>28</v>
      </c>
      <c r="B31" s="154" t="str">
        <f>'入力SHEET'!C31</f>
        <v>その他の公共ｻｰﾋﾞｽ</v>
      </c>
      <c r="C31" s="158">
        <f>IF('入力SHEET'!$L$6=28,'入力SHEET'!$L$12*10000,"")</f>
      </c>
      <c r="D31" s="156">
        <f>'分析過程'!L53*10000</f>
        <v>100.66948357776123</v>
      </c>
      <c r="E31" s="159">
        <f t="shared" si="0"/>
        <v>24</v>
      </c>
      <c r="F31" s="169">
        <f>'分析過程'!Z97*10000</f>
        <v>1446.586222515145</v>
      </c>
      <c r="G31" s="159">
        <f t="shared" si="4"/>
        <v>11</v>
      </c>
      <c r="H31" s="171">
        <f>IF('入力SHEET'!$L$6=28,C31+D31+F31,D31+F31)</f>
        <v>1547.2557060929062</v>
      </c>
      <c r="I31" s="166">
        <f t="shared" si="5"/>
        <v>15</v>
      </c>
      <c r="K31" s="153">
        <f>'入力SHEET'!B31</f>
        <v>28</v>
      </c>
      <c r="L31" s="154" t="str">
        <f>'入力SHEET'!C31</f>
        <v>その他の公共ｻｰﾋﾞｽ</v>
      </c>
      <c r="M31" s="162">
        <f>IF('入力SHEET'!$L$6=28,'分析過程'!$C$9*10000,"")</f>
      </c>
      <c r="N31" s="161">
        <f>'分析過程'!S53*10000</f>
        <v>68.53663803431758</v>
      </c>
      <c r="O31" s="159">
        <f t="shared" si="1"/>
        <v>22</v>
      </c>
      <c r="P31" s="161">
        <f>'分析過程'!AG97*10000</f>
        <v>984.848166439319</v>
      </c>
      <c r="Q31" s="159">
        <f t="shared" si="2"/>
        <v>11</v>
      </c>
      <c r="R31" s="175">
        <f>IF('入力SHEET'!$L$6=28,M31+N31+P31,N31+P31)</f>
        <v>1053.3848044736367</v>
      </c>
      <c r="S31" s="166">
        <f t="shared" si="3"/>
        <v>13</v>
      </c>
      <c r="U31" s="153">
        <f>'入力SHEET'!B31</f>
        <v>28</v>
      </c>
      <c r="V31" s="154" t="str">
        <f>'入力SHEET'!C31</f>
        <v>その他の公共ｻｰﾋﾞｽ</v>
      </c>
      <c r="W31" s="164">
        <f>IF('入力SHEET'!$L$6=28,'分析過程'!$C$13*10000,"")</f>
      </c>
      <c r="X31" s="161">
        <f>'分析過程'!Z53*10000</f>
        <v>55.332782053075185</v>
      </c>
      <c r="Y31" s="159">
        <f t="shared" si="6"/>
        <v>17</v>
      </c>
      <c r="Z31" s="161">
        <f>'分析過程'!AN97*10000</f>
        <v>795.113249086878</v>
      </c>
      <c r="AA31" s="159">
        <f t="shared" si="7"/>
        <v>9</v>
      </c>
      <c r="AB31" s="175">
        <f>IF('入力SHEET'!$L$6=28,W31+X31+Z31,X31+Z31)</f>
        <v>850.4460311399532</v>
      </c>
      <c r="AC31" s="166">
        <f t="shared" si="8"/>
        <v>11</v>
      </c>
    </row>
    <row r="32" spans="1:29" s="93" customFormat="1" ht="24.75" customHeight="1">
      <c r="A32" s="153">
        <f>'入力SHEET'!B32</f>
        <v>29</v>
      </c>
      <c r="B32" s="154" t="str">
        <f>'入力SHEET'!C32</f>
        <v>対事業所ｻｰﾋﾞｽ</v>
      </c>
      <c r="C32" s="158">
        <f>IF('入力SHEET'!$L$6=29,'入力SHEET'!$L$12*10000,"")</f>
      </c>
      <c r="D32" s="156">
        <f>'分析過程'!L54*10000</f>
        <v>5142.53578577715</v>
      </c>
      <c r="E32" s="159">
        <f t="shared" si="0"/>
        <v>3</v>
      </c>
      <c r="F32" s="169">
        <f>'分析過程'!Z98*10000</f>
        <v>5201.986779979895</v>
      </c>
      <c r="G32" s="159">
        <f t="shared" si="4"/>
        <v>5</v>
      </c>
      <c r="H32" s="171">
        <f>IF('入力SHEET'!$L$6=29,C32+D32+F32,D32+F32)</f>
        <v>10344.522565757045</v>
      </c>
      <c r="I32" s="166">
        <f t="shared" si="5"/>
        <v>6</v>
      </c>
      <c r="K32" s="153">
        <f>'入力SHEET'!B32</f>
        <v>29</v>
      </c>
      <c r="L32" s="154" t="str">
        <f>'入力SHEET'!C32</f>
        <v>対事業所ｻｰﾋﾞｽ</v>
      </c>
      <c r="M32" s="162">
        <f>IF('入力SHEET'!$L$6=29,'分析過程'!$C$9*10000,"")</f>
      </c>
      <c r="N32" s="161">
        <f>'分析過程'!S54*10000</f>
        <v>3355.1390341868682</v>
      </c>
      <c r="O32" s="159">
        <f t="shared" si="1"/>
        <v>4</v>
      </c>
      <c r="P32" s="161">
        <f>'分析過程'!AG98*10000</f>
        <v>3393.9265817276205</v>
      </c>
      <c r="Q32" s="159">
        <f t="shared" si="2"/>
        <v>5</v>
      </c>
      <c r="R32" s="175">
        <f>IF('入力SHEET'!$L$6=29,M32+N32+P32,N32+P32)</f>
        <v>6749.065615914489</v>
      </c>
      <c r="S32" s="166">
        <f t="shared" si="3"/>
        <v>6</v>
      </c>
      <c r="U32" s="153">
        <f>'入力SHEET'!B32</f>
        <v>29</v>
      </c>
      <c r="V32" s="154" t="str">
        <f>'入力SHEET'!C32</f>
        <v>対事業所ｻｰﾋﾞｽ</v>
      </c>
      <c r="W32" s="164">
        <f>IF('入力SHEET'!$L$6=29,'分析過程'!$C$13*10000,"")</f>
      </c>
      <c r="X32" s="161">
        <f>'分析過程'!Z54*10000</f>
        <v>1928.9378748234378</v>
      </c>
      <c r="Y32" s="159">
        <f t="shared" si="6"/>
        <v>4</v>
      </c>
      <c r="Z32" s="161">
        <f>'分析過程'!AN98*10000</f>
        <v>1951.2376271617202</v>
      </c>
      <c r="AA32" s="159">
        <f t="shared" si="7"/>
        <v>6</v>
      </c>
      <c r="AB32" s="175">
        <f>IF('入力SHEET'!$L$6=29,W32+X32+Z32,X32+Z32)</f>
        <v>3880.175501985158</v>
      </c>
      <c r="AC32" s="166">
        <f t="shared" si="8"/>
        <v>5</v>
      </c>
    </row>
    <row r="33" spans="1:29" s="93" customFormat="1" ht="24.75" customHeight="1">
      <c r="A33" s="153">
        <f>'入力SHEET'!B33</f>
        <v>30</v>
      </c>
      <c r="B33" s="154" t="str">
        <f>'入力SHEET'!C33</f>
        <v>対個人ｻｰﾋﾞｽ</v>
      </c>
      <c r="C33" s="158">
        <f>IF('入力SHEET'!$L$6=30,'入力SHEET'!$L$12*10000,"")</f>
      </c>
      <c r="D33" s="156">
        <f>'分析過程'!L55*10000</f>
        <v>135.37842354566587</v>
      </c>
      <c r="E33" s="159">
        <f t="shared" si="0"/>
        <v>22</v>
      </c>
      <c r="F33" s="169">
        <f>'分析過程'!Z99*10000</f>
        <v>13047.86740896523</v>
      </c>
      <c r="G33" s="159">
        <f t="shared" si="4"/>
        <v>2</v>
      </c>
      <c r="H33" s="171">
        <f>IF('入力SHEET'!$L$6=30,C33+D33+F33,D33+F33)</f>
        <v>13183.245832510896</v>
      </c>
      <c r="I33" s="166">
        <f t="shared" si="5"/>
        <v>4</v>
      </c>
      <c r="K33" s="153">
        <f>'入力SHEET'!B33</f>
        <v>30</v>
      </c>
      <c r="L33" s="154" t="str">
        <f>'入力SHEET'!C33</f>
        <v>対個人ｻｰﾋﾞｽ</v>
      </c>
      <c r="M33" s="162">
        <f>IF('入力SHEET'!$L$6=30,'分析過程'!$C$9*10000,"")</f>
      </c>
      <c r="N33" s="161">
        <f>'分析過程'!S55*10000</f>
        <v>77.06887180655133</v>
      </c>
      <c r="O33" s="159">
        <f t="shared" si="1"/>
        <v>21</v>
      </c>
      <c r="P33" s="161">
        <f>'分析過程'!AG99*10000</f>
        <v>7427.951916955339</v>
      </c>
      <c r="Q33" s="159">
        <f t="shared" si="2"/>
        <v>2</v>
      </c>
      <c r="R33" s="175">
        <f>IF('入力SHEET'!$L$6=30,M33+N33+P33,N33+P33)</f>
        <v>7505.02078876189</v>
      </c>
      <c r="S33" s="166">
        <f t="shared" si="3"/>
        <v>5</v>
      </c>
      <c r="U33" s="153">
        <f>'入力SHEET'!B33</f>
        <v>30</v>
      </c>
      <c r="V33" s="154" t="str">
        <f>'入力SHEET'!C33</f>
        <v>対個人ｻｰﾋﾞｽ</v>
      </c>
      <c r="W33" s="164">
        <f>IF('入力SHEET'!$L$6=30,'分析過程'!$C$13*10000,"")</f>
      </c>
      <c r="X33" s="161">
        <f>'分析過程'!Z55*10000</f>
        <v>40.655198864695535</v>
      </c>
      <c r="Y33" s="159">
        <f t="shared" si="6"/>
        <v>20</v>
      </c>
      <c r="Z33" s="161">
        <f>'分析過程'!AN99*10000</f>
        <v>3918.376580096052</v>
      </c>
      <c r="AA33" s="159">
        <f t="shared" si="7"/>
        <v>2</v>
      </c>
      <c r="AB33" s="175">
        <f>IF('入力SHEET'!$L$6=30,W33+X33+Z33,X33+Z33)</f>
        <v>3959.0317789607475</v>
      </c>
      <c r="AC33" s="166">
        <f t="shared" si="8"/>
        <v>4</v>
      </c>
    </row>
    <row r="34" spans="1:29" s="93" customFormat="1" ht="24.75" customHeight="1">
      <c r="A34" s="153">
        <f>'入力SHEET'!B34</f>
        <v>31</v>
      </c>
      <c r="B34" s="154" t="str">
        <f>'入力SHEET'!C34</f>
        <v>事務用品</v>
      </c>
      <c r="C34" s="158">
        <f>IF('入力SHEET'!$L$6=31,'入力SHEET'!$L$12*10000,"")</f>
      </c>
      <c r="D34" s="156">
        <f>'分析過程'!L56*10000</f>
        <v>192.48613108113128</v>
      </c>
      <c r="E34" s="159">
        <f t="shared" si="0"/>
        <v>19</v>
      </c>
      <c r="F34" s="169">
        <f>'分析過程'!Z100*10000</f>
        <v>173.38089941791736</v>
      </c>
      <c r="G34" s="159">
        <f t="shared" si="4"/>
        <v>24</v>
      </c>
      <c r="H34" s="171">
        <f>IF('入力SHEET'!$L$6=31,C34+D34+F34,D34+F34)</f>
        <v>365.8670304990486</v>
      </c>
      <c r="I34" s="166">
        <f t="shared" si="5"/>
        <v>24</v>
      </c>
      <c r="K34" s="153">
        <f>'入力SHEET'!B34</f>
        <v>31</v>
      </c>
      <c r="L34" s="154" t="str">
        <f>'入力SHEET'!C34</f>
        <v>事務用品</v>
      </c>
      <c r="M34" s="162">
        <f>IF('入力SHEET'!$L$6=31,'分析過程'!$C$9*10000,"")</f>
      </c>
      <c r="N34" s="161">
        <f>'分析過程'!S56*10000</f>
        <v>0</v>
      </c>
      <c r="O34" s="159">
        <f t="shared" si="1"/>
        <v>32</v>
      </c>
      <c r="P34" s="161">
        <f>'分析過程'!AG100*10000</f>
        <v>0</v>
      </c>
      <c r="Q34" s="159">
        <f t="shared" si="2"/>
        <v>32</v>
      </c>
      <c r="R34" s="175">
        <f>IF('入力SHEET'!$L$6=31,M34+N34+P34,N34+P34)</f>
        <v>0</v>
      </c>
      <c r="S34" s="166">
        <f t="shared" si="3"/>
        <v>32</v>
      </c>
      <c r="U34" s="153">
        <f>'入力SHEET'!B34</f>
        <v>31</v>
      </c>
      <c r="V34" s="154" t="str">
        <f>'入力SHEET'!C34</f>
        <v>事務用品</v>
      </c>
      <c r="W34" s="164">
        <f>IF('入力SHEET'!$L$6=31,'分析過程'!$C$13*10000,"")</f>
      </c>
      <c r="X34" s="161">
        <f>'分析過程'!Z56*10000</f>
        <v>0</v>
      </c>
      <c r="Y34" s="159">
        <f t="shared" si="6"/>
        <v>32</v>
      </c>
      <c r="Z34" s="161">
        <f>'分析過程'!AN100*10000</f>
        <v>0</v>
      </c>
      <c r="AA34" s="159">
        <f t="shared" si="7"/>
        <v>32</v>
      </c>
      <c r="AB34" s="175">
        <f>IF('入力SHEET'!$L$6=31,W34+X34+Z34,X34+Z34)</f>
        <v>0</v>
      </c>
      <c r="AC34" s="166">
        <f t="shared" si="8"/>
        <v>32</v>
      </c>
    </row>
    <row r="35" spans="1:29" s="93" customFormat="1" ht="24.75" customHeight="1">
      <c r="A35" s="153">
        <f>'入力SHEET'!B35</f>
        <v>32</v>
      </c>
      <c r="B35" s="154" t="str">
        <f>'入力SHEET'!C35</f>
        <v>分類不明</v>
      </c>
      <c r="C35" s="158">
        <f>IF('入力SHEET'!$L$6=32,'入力SHEET'!$L$12*10000,"")</f>
      </c>
      <c r="D35" s="156">
        <f>'分析過程'!L57*10000</f>
        <v>926.9743040783744</v>
      </c>
      <c r="E35" s="159">
        <f t="shared" si="0"/>
        <v>8</v>
      </c>
      <c r="F35" s="169">
        <f>'分析過程'!Z101*10000</f>
        <v>305.2524991746335</v>
      </c>
      <c r="G35" s="159">
        <f t="shared" si="4"/>
        <v>21</v>
      </c>
      <c r="H35" s="171">
        <f>IF('入力SHEET'!$L$6=32,C35+D35+F35,D35+F35)</f>
        <v>1232.2268032530078</v>
      </c>
      <c r="I35" s="166">
        <f t="shared" si="5"/>
        <v>16</v>
      </c>
      <c r="K35" s="153">
        <f>'入力SHEET'!B35</f>
        <v>32</v>
      </c>
      <c r="L35" s="154" t="str">
        <f>'入力SHEET'!C35</f>
        <v>分類不明</v>
      </c>
      <c r="M35" s="162">
        <f>IF('入力SHEET'!$L$6=32,'分析過程'!$C$9*10000,"")</f>
      </c>
      <c r="N35" s="161">
        <f>'分析過程'!S57*10000</f>
        <v>283.1796202746702</v>
      </c>
      <c r="O35" s="159">
        <f t="shared" si="1"/>
        <v>13</v>
      </c>
      <c r="P35" s="161">
        <f>'分析過程'!AG101*10000</f>
        <v>93.25100644522105</v>
      </c>
      <c r="Q35" s="159">
        <f t="shared" si="2"/>
        <v>22</v>
      </c>
      <c r="R35" s="175">
        <f>IF('入力SHEET'!$L$6=32,M35+N35+P35,N35+P35)</f>
        <v>376.4306267198912</v>
      </c>
      <c r="S35" s="166">
        <f t="shared" si="3"/>
        <v>18</v>
      </c>
      <c r="U35" s="153">
        <f>'入力SHEET'!B35</f>
        <v>32</v>
      </c>
      <c r="V35" s="154" t="str">
        <f>'入力SHEET'!C35</f>
        <v>分類不明</v>
      </c>
      <c r="W35" s="164">
        <f>IF('入力SHEET'!$L$6=32,'分析過程'!$C$13*10000,"")</f>
      </c>
      <c r="X35" s="161">
        <f>'分析過程'!Z57*10000</f>
        <v>59.758296824511376</v>
      </c>
      <c r="Y35" s="159">
        <f t="shared" si="6"/>
        <v>16</v>
      </c>
      <c r="Z35" s="161">
        <f>'分析過程'!AN101*10000</f>
        <v>19.678398173332084</v>
      </c>
      <c r="AA35" s="159">
        <f t="shared" si="7"/>
        <v>25</v>
      </c>
      <c r="AB35" s="175">
        <f>IF('入力SHEET'!$L$6=32,W35+X35+Z35,X35+Z35)</f>
        <v>79.43669499784346</v>
      </c>
      <c r="AC35" s="166">
        <f t="shared" si="8"/>
        <v>23</v>
      </c>
    </row>
    <row r="36" spans="1:29" s="93" customFormat="1" ht="24.75" customHeight="1">
      <c r="A36" s="94"/>
      <c r="B36" s="95" t="s">
        <v>94</v>
      </c>
      <c r="C36" s="167">
        <f>SUM(C4:C35)</f>
        <v>1000000</v>
      </c>
      <c r="D36" s="168">
        <f>SUM(D4:D35)</f>
        <v>204148.33238728484</v>
      </c>
      <c r="E36" s="96"/>
      <c r="F36" s="170">
        <f>SUM(F4:F35)</f>
        <v>80293.82694270299</v>
      </c>
      <c r="G36" s="96"/>
      <c r="H36" s="172">
        <f>SUM(H4:H35)</f>
        <v>1284442.1593299876</v>
      </c>
      <c r="I36" s="97"/>
      <c r="K36" s="94"/>
      <c r="L36" s="95" t="s">
        <v>94</v>
      </c>
      <c r="M36" s="173">
        <f>SUM(M4:M35)</f>
        <v>617149.9251438769</v>
      </c>
      <c r="N36" s="174">
        <f>SUM(N4:N35)</f>
        <v>125754.53786317853</v>
      </c>
      <c r="O36" s="96"/>
      <c r="P36" s="174">
        <f>SUM(P4:P35)</f>
        <v>53787.83570211391</v>
      </c>
      <c r="Q36" s="96"/>
      <c r="R36" s="176">
        <f>SUM(R4:R35)</f>
        <v>796692.2987091694</v>
      </c>
      <c r="S36" s="97"/>
      <c r="U36" s="94"/>
      <c r="V36" s="95" t="s">
        <v>94</v>
      </c>
      <c r="W36" s="177">
        <f>SUM(W4:W35)</f>
        <v>110669.5814812567</v>
      </c>
      <c r="X36" s="174">
        <f>SUM(X4:X35)</f>
        <v>29401.051095629082</v>
      </c>
      <c r="Y36" s="96"/>
      <c r="Z36" s="174">
        <f>SUM(Z4:Z35)</f>
        <v>24097.92835180032</v>
      </c>
      <c r="AA36" s="96"/>
      <c r="AB36" s="176">
        <f>SUM(AB4:AB35)</f>
        <v>164168.5609286861</v>
      </c>
      <c r="AC36" s="97"/>
    </row>
    <row r="37" spans="3:23" s="93" customFormat="1" ht="24.75" customHeight="1">
      <c r="C37" s="98"/>
      <c r="D37" s="99"/>
      <c r="F37" s="100"/>
      <c r="H37" s="101"/>
      <c r="M37" s="102"/>
      <c r="W37" s="103"/>
    </row>
    <row r="38" spans="1:29" s="93" customFormat="1" ht="24.75" customHeight="1">
      <c r="A38" s="227" t="s">
        <v>133</v>
      </c>
      <c r="B38" s="228"/>
      <c r="C38" s="178">
        <f>IF(H38-F38-D38=0,0,H38-F38-D38)</f>
        <v>1000000.0000000001</v>
      </c>
      <c r="D38" s="179">
        <f>D4</f>
        <v>172694.53402330438</v>
      </c>
      <c r="E38" s="104"/>
      <c r="F38" s="187">
        <f>F4</f>
        <v>820.7327954031394</v>
      </c>
      <c r="G38" s="104"/>
      <c r="H38" s="191">
        <f>H4</f>
        <v>1173515.2668187076</v>
      </c>
      <c r="I38" s="105"/>
      <c r="K38" s="227" t="s">
        <v>133</v>
      </c>
      <c r="L38" s="228"/>
      <c r="M38" s="183">
        <f>IF(R38-P38-N38=0,0,R38-P38-N38)</f>
        <v>617149.9251438769</v>
      </c>
      <c r="N38" s="178">
        <f>N4</f>
        <v>106578.418745239</v>
      </c>
      <c r="O38" s="104"/>
      <c r="P38" s="178">
        <f>P4</f>
        <v>506.51518324617234</v>
      </c>
      <c r="Q38" s="104"/>
      <c r="R38" s="194">
        <f>R4</f>
        <v>724234.8590723622</v>
      </c>
      <c r="S38" s="105"/>
      <c r="U38" s="227" t="s">
        <v>133</v>
      </c>
      <c r="V38" s="228"/>
      <c r="W38" s="187">
        <f>IF(AB38-Z38-X38=0,0,AB38-Z38-X38)</f>
        <v>110669.5814812567</v>
      </c>
      <c r="X38" s="178">
        <f>X4</f>
        <v>19112.03180445974</v>
      </c>
      <c r="Y38" s="104"/>
      <c r="Z38" s="178">
        <f>Z4</f>
        <v>90.83015497520732</v>
      </c>
      <c r="AA38" s="104"/>
      <c r="AB38" s="194">
        <f>AB4</f>
        <v>129872.44344069164</v>
      </c>
      <c r="AC38" s="105"/>
    </row>
    <row r="39" spans="1:29" s="93" customFormat="1" ht="24.75" customHeight="1">
      <c r="A39" s="227" t="s">
        <v>134</v>
      </c>
      <c r="B39" s="228"/>
      <c r="C39" s="178">
        <f>IF(H39-F39-D39=0,"",H39-F39-D39)</f>
        <v>-5.4569682106375694E-12</v>
      </c>
      <c r="D39" s="180">
        <f>SUM(D5:D20)+D34</f>
        <v>8348.713717711224</v>
      </c>
      <c r="E39" s="104"/>
      <c r="F39" s="189">
        <f>SUM(F5:F20)+F34</f>
        <v>8956.568707771961</v>
      </c>
      <c r="G39" s="104"/>
      <c r="H39" s="192">
        <f>SUM(H5:H20)+H34</f>
        <v>17305.28242548318</v>
      </c>
      <c r="I39" s="105"/>
      <c r="K39" s="227" t="s">
        <v>134</v>
      </c>
      <c r="L39" s="228"/>
      <c r="M39" s="183">
        <f>IF(R39-P39-N39=0,"",R39-P39-N39)</f>
      </c>
      <c r="N39" s="184">
        <f>SUM(N5:N20)+N34</f>
        <v>3951.495042713739</v>
      </c>
      <c r="O39" s="104"/>
      <c r="P39" s="184">
        <f>SUM(P5:P20)+P34</f>
        <v>4424.0035653493505</v>
      </c>
      <c r="Q39" s="104"/>
      <c r="R39" s="195">
        <f>SUM(R5:R20)+R34</f>
        <v>8375.49860806309</v>
      </c>
      <c r="S39" s="105"/>
      <c r="U39" s="227" t="s">
        <v>134</v>
      </c>
      <c r="V39" s="228"/>
      <c r="W39" s="187">
        <f>IF(AB39-Z39-X39=0,"",AB39-Z39-X39)</f>
      </c>
      <c r="X39" s="184">
        <f>SUM(X5:X20)+X34</f>
        <v>1610.088271912447</v>
      </c>
      <c r="Y39" s="104"/>
      <c r="Z39" s="184">
        <f>SUM(Z5:Z20)+Z34</f>
        <v>1739.9305649902567</v>
      </c>
      <c r="AA39" s="104"/>
      <c r="AB39" s="195">
        <f>SUM(AB5:AB20)+AB34</f>
        <v>3350.0188369027037</v>
      </c>
      <c r="AC39" s="105"/>
    </row>
    <row r="40" spans="1:29" s="93" customFormat="1" ht="24.75" customHeight="1">
      <c r="A40" s="227" t="s">
        <v>135</v>
      </c>
      <c r="B40" s="228"/>
      <c r="C40" s="181">
        <f>IF(H40-F40-D40=0,0,H40-F40-D40)</f>
        <v>0</v>
      </c>
      <c r="D40" s="182">
        <f>SUM(D21:D33)+D35</f>
        <v>23105.0846462692</v>
      </c>
      <c r="E40" s="106"/>
      <c r="F40" s="190">
        <f>SUM(F21:F33)+F35</f>
        <v>70516.5254395279</v>
      </c>
      <c r="G40" s="106"/>
      <c r="H40" s="193">
        <f>SUM(H21:H33)+H35</f>
        <v>93621.6100857971</v>
      </c>
      <c r="I40" s="107"/>
      <c r="K40" s="227" t="s">
        <v>135</v>
      </c>
      <c r="L40" s="228"/>
      <c r="M40" s="185">
        <f>IF(R40-P40-N40=0,0,R40-P40-N40)</f>
        <v>-1.0913936421275139E-11</v>
      </c>
      <c r="N40" s="186">
        <f>SUM(N21:N33)+N35</f>
        <v>15224.624075225747</v>
      </c>
      <c r="O40" s="106"/>
      <c r="P40" s="186">
        <f>SUM(P21:P33)+P35</f>
        <v>48857.3169535184</v>
      </c>
      <c r="Q40" s="106"/>
      <c r="R40" s="196">
        <f>SUM(R21:R33)+R35</f>
        <v>64081.941028744135</v>
      </c>
      <c r="S40" s="107"/>
      <c r="U40" s="227" t="s">
        <v>135</v>
      </c>
      <c r="V40" s="228"/>
      <c r="W40" s="188">
        <f>IF(AB40-Z40-X40=0,0,AB40-Z40-X40)</f>
        <v>-1.8189894035458565E-12</v>
      </c>
      <c r="X40" s="186">
        <f>SUM(X21:X33)+X35</f>
        <v>8678.931019256886</v>
      </c>
      <c r="Y40" s="106"/>
      <c r="Z40" s="186">
        <f>SUM(Z21:Z33)+Z35</f>
        <v>22267.167631834855</v>
      </c>
      <c r="AA40" s="106"/>
      <c r="AB40" s="196">
        <f>SUM(AB21:AB33)+AB35</f>
        <v>30946.09865109174</v>
      </c>
      <c r="AC40" s="107"/>
    </row>
    <row r="41" s="86" customFormat="1" ht="21" customHeight="1"/>
    <row r="42" spans="1:30" ht="21"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ht="21"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row>
    <row r="44" ht="18.75">
      <c r="B44" s="32" t="s">
        <v>143</v>
      </c>
    </row>
    <row r="45" ht="18.75">
      <c r="B45" s="32"/>
    </row>
    <row r="46" ht="18.75">
      <c r="B46" s="32"/>
    </row>
    <row r="48" ht="12">
      <c r="AF48" s="26" t="s">
        <v>130</v>
      </c>
    </row>
    <row r="49" ht="12">
      <c r="AF49" s="26" t="s">
        <v>129</v>
      </c>
    </row>
    <row r="50" ht="12">
      <c r="AF50" s="26" t="s">
        <v>128</v>
      </c>
    </row>
    <row r="51" ht="12">
      <c r="AF51" s="26" t="s">
        <v>127</v>
      </c>
    </row>
    <row r="52" ht="12">
      <c r="AF52" s="26" t="s">
        <v>126</v>
      </c>
    </row>
    <row r="53" ht="12">
      <c r="AF53" s="26" t="s">
        <v>125</v>
      </c>
    </row>
    <row r="54" ht="12">
      <c r="AF54" s="26" t="s">
        <v>124</v>
      </c>
    </row>
    <row r="55" ht="12">
      <c r="AF55" s="26" t="s">
        <v>123</v>
      </c>
    </row>
    <row r="56" ht="12">
      <c r="AF56" s="26" t="s">
        <v>122</v>
      </c>
    </row>
    <row r="57" ht="12">
      <c r="AF57" s="26" t="s">
        <v>121</v>
      </c>
    </row>
    <row r="58" ht="12">
      <c r="AF58" s="26" t="s">
        <v>120</v>
      </c>
    </row>
    <row r="59" ht="12">
      <c r="AF59" s="26" t="s">
        <v>119</v>
      </c>
    </row>
    <row r="60" ht="12">
      <c r="AF60" s="26" t="s">
        <v>118</v>
      </c>
    </row>
    <row r="61" ht="12">
      <c r="AF61" s="26" t="s">
        <v>117</v>
      </c>
    </row>
    <row r="62" ht="12">
      <c r="AF62" s="26" t="s">
        <v>116</v>
      </c>
    </row>
    <row r="63" ht="12">
      <c r="AF63" s="29" t="s">
        <v>115</v>
      </c>
    </row>
    <row r="64" ht="12">
      <c r="AF64" s="26" t="s">
        <v>114</v>
      </c>
    </row>
    <row r="65" ht="12">
      <c r="AF65" s="26" t="s">
        <v>113</v>
      </c>
    </row>
    <row r="66" ht="12">
      <c r="AF66" s="29" t="s">
        <v>132</v>
      </c>
    </row>
    <row r="67" ht="12">
      <c r="AF67" s="26" t="s">
        <v>112</v>
      </c>
    </row>
    <row r="68" ht="12">
      <c r="AF68" s="26" t="s">
        <v>111</v>
      </c>
    </row>
    <row r="69" ht="12">
      <c r="AF69" s="26" t="s">
        <v>110</v>
      </c>
    </row>
    <row r="70" ht="12">
      <c r="AF70" s="26" t="s">
        <v>109</v>
      </c>
    </row>
    <row r="71" ht="12">
      <c r="AF71" s="26" t="s">
        <v>108</v>
      </c>
    </row>
    <row r="72" ht="12">
      <c r="AF72" s="26" t="s">
        <v>107</v>
      </c>
    </row>
    <row r="73" ht="12">
      <c r="AF73" s="26" t="s">
        <v>106</v>
      </c>
    </row>
    <row r="74" ht="12">
      <c r="AF74" s="29" t="s">
        <v>131</v>
      </c>
    </row>
    <row r="75" ht="12">
      <c r="AF75" s="26" t="s">
        <v>101</v>
      </c>
    </row>
    <row r="76" ht="12">
      <c r="AF76" s="26" t="s">
        <v>102</v>
      </c>
    </row>
    <row r="77" ht="12">
      <c r="AF77" s="26" t="s">
        <v>103</v>
      </c>
    </row>
    <row r="78" ht="12">
      <c r="AF78" s="26" t="s">
        <v>104</v>
      </c>
    </row>
    <row r="79" ht="12">
      <c r="AF79" s="26" t="s">
        <v>105</v>
      </c>
    </row>
    <row r="90" spans="1:30" ht="1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row>
    <row r="91" ht="18.75">
      <c r="B91" s="32" t="s">
        <v>144</v>
      </c>
    </row>
    <row r="92" ht="18.75">
      <c r="B92" s="32"/>
    </row>
    <row r="93" ht="18.75">
      <c r="B93" s="32"/>
    </row>
  </sheetData>
  <sheetProtection/>
  <mergeCells count="13">
    <mergeCell ref="U40:V40"/>
    <mergeCell ref="A38:B38"/>
    <mergeCell ref="A39:B39"/>
    <mergeCell ref="A40:B40"/>
    <mergeCell ref="K38:L38"/>
    <mergeCell ref="K39:L39"/>
    <mergeCell ref="K40:L40"/>
    <mergeCell ref="A3:B3"/>
    <mergeCell ref="K3:L3"/>
    <mergeCell ref="U3:V3"/>
    <mergeCell ref="H1:V1"/>
    <mergeCell ref="U38:V38"/>
    <mergeCell ref="U39:V39"/>
  </mergeCells>
  <printOptions horizontalCentered="1" verticalCentered="1"/>
  <pageMargins left="0.5905511811023623" right="0.1968503937007874" top="0.5905511811023623" bottom="0.3937007874015748" header="0.31496062992125984" footer="0.31496062992125984"/>
  <pageSetup horizontalDpi="300" verticalDpi="300" orientation="landscape" paperSize="9" scale="45" r:id="rId2"/>
  <headerFooter alignWithMargins="0">
    <oddHeader>&amp;LFILE=&amp;F,SHEET=&amp;A</oddHeader>
  </headerFooter>
  <rowBreaks count="1" manualBreakCount="1">
    <brk id="42" max="255" man="1"/>
  </rowBreaks>
  <colBreaks count="1" manualBreakCount="1">
    <brk id="31"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L100"/>
  <sheetViews>
    <sheetView showGridLines="0" zoomScalePageLayoutView="0" workbookViewId="0" topLeftCell="A1">
      <selection activeCell="A1" sqref="A1"/>
    </sheetView>
  </sheetViews>
  <sheetFormatPr defaultColWidth="10.59765625" defaultRowHeight="19.5" customHeight="1"/>
  <cols>
    <col min="1" max="1" width="3.59765625" style="149" customWidth="1"/>
    <col min="2" max="2" width="18.59765625" style="147" customWidth="1"/>
    <col min="3" max="8" width="12.59765625" style="150" customWidth="1"/>
    <col min="9" max="9" width="10.59765625" style="147" customWidth="1"/>
    <col min="10" max="10" width="13.09765625" style="147" customWidth="1"/>
    <col min="11" max="16384" width="10.59765625" style="147" customWidth="1"/>
  </cols>
  <sheetData>
    <row r="1" spans="3:9" ht="19.5" customHeight="1">
      <c r="C1" s="229" t="s">
        <v>40</v>
      </c>
      <c r="D1" s="230"/>
      <c r="E1" s="230"/>
      <c r="F1" s="230"/>
      <c r="G1" s="229" t="s">
        <v>138</v>
      </c>
      <c r="H1" s="229"/>
      <c r="I1" s="229"/>
    </row>
    <row r="2" spans="1:10" s="150" customFormat="1" ht="27">
      <c r="A2" s="151"/>
      <c r="C2" s="150" t="s">
        <v>0</v>
      </c>
      <c r="D2" s="150" t="s">
        <v>1</v>
      </c>
      <c r="E2" s="150" t="s">
        <v>2</v>
      </c>
      <c r="F2" s="150" t="s">
        <v>3</v>
      </c>
      <c r="G2" s="150" t="s">
        <v>36</v>
      </c>
      <c r="H2" s="147" t="s">
        <v>37</v>
      </c>
      <c r="I2" s="150" t="s">
        <v>137</v>
      </c>
      <c r="J2" s="150" t="s">
        <v>139</v>
      </c>
    </row>
    <row r="3" spans="1:12" ht="19.5" customHeight="1">
      <c r="A3" s="149">
        <v>1</v>
      </c>
      <c r="B3" s="147" t="s">
        <v>4</v>
      </c>
      <c r="C3" s="148">
        <f>1-D3</f>
        <v>0.3828500748561231</v>
      </c>
      <c r="D3" s="150">
        <v>0.6171499251438769</v>
      </c>
      <c r="E3" s="150">
        <v>0.1106695814812567</v>
      </c>
      <c r="F3" s="150">
        <v>0.39046579384363533</v>
      </c>
      <c r="G3" s="150">
        <v>0.00857894718055006</v>
      </c>
      <c r="H3" s="150">
        <v>0.0052944966102897425</v>
      </c>
      <c r="I3" s="148">
        <f>J3/J$35</f>
        <v>0.012422500073324953</v>
      </c>
      <c r="J3" s="149">
        <v>3199031.1808170592</v>
      </c>
      <c r="L3" s="152"/>
    </row>
    <row r="4" spans="1:12" ht="19.5" customHeight="1">
      <c r="A4" s="149">
        <v>2</v>
      </c>
      <c r="B4" s="147" t="s">
        <v>5</v>
      </c>
      <c r="C4" s="148">
        <f aca="true" t="shared" si="0" ref="C4:C34">1-D4</f>
        <v>0.5726048177018814</v>
      </c>
      <c r="D4" s="150">
        <v>0.4273951822981186</v>
      </c>
      <c r="E4" s="150">
        <v>0.15835823022548343</v>
      </c>
      <c r="F4" s="150">
        <v>0.33427162939160027</v>
      </c>
      <c r="G4" s="150">
        <v>0.0005849923288701423</v>
      </c>
      <c r="H4" s="150">
        <v>0.00025002290304045543</v>
      </c>
      <c r="I4" s="148">
        <f aca="true" t="shared" si="1" ref="I4:I34">J4/J$35</f>
        <v>-2.4237120931589563E-05</v>
      </c>
      <c r="J4" s="149">
        <v>-6241.521846305456</v>
      </c>
      <c r="L4" s="152"/>
    </row>
    <row r="5" spans="1:12" ht="19.5" customHeight="1">
      <c r="A5" s="149">
        <v>3</v>
      </c>
      <c r="B5" s="147" t="s">
        <v>6</v>
      </c>
      <c r="C5" s="148">
        <f t="shared" si="0"/>
        <v>0.38193974232690175</v>
      </c>
      <c r="D5" s="150">
        <v>0.6180602576730982</v>
      </c>
      <c r="E5" s="150">
        <v>0.12435432095380011</v>
      </c>
      <c r="F5" s="150">
        <v>0.3592402315795783</v>
      </c>
      <c r="G5" s="150">
        <v>0.04536496470989366</v>
      </c>
      <c r="H5" s="150">
        <v>0.028038281777927884</v>
      </c>
      <c r="I5" s="148">
        <f t="shared" si="1"/>
        <v>0.10821820560738361</v>
      </c>
      <c r="J5" s="149">
        <v>27868256.150263887</v>
      </c>
      <c r="L5" s="152"/>
    </row>
    <row r="6" spans="1:12" ht="19.5" customHeight="1">
      <c r="A6" s="149">
        <v>4</v>
      </c>
      <c r="B6" s="147" t="s">
        <v>7</v>
      </c>
      <c r="C6" s="148">
        <f t="shared" si="0"/>
        <v>0.6127389102155414</v>
      </c>
      <c r="D6" s="150">
        <v>0.3872610897844586</v>
      </c>
      <c r="E6" s="150">
        <v>0.3131329107271578</v>
      </c>
      <c r="F6" s="150">
        <v>0.24555342058512697</v>
      </c>
      <c r="G6" s="150">
        <v>0.005869690875403439</v>
      </c>
      <c r="H6" s="150">
        <v>0.0022731028851066285</v>
      </c>
      <c r="I6" s="148">
        <f t="shared" si="1"/>
        <v>0.02120599495568249</v>
      </c>
      <c r="J6" s="149">
        <v>5460948.9783098195</v>
      </c>
      <c r="L6" s="152"/>
    </row>
    <row r="7" spans="1:12" ht="19.5" customHeight="1">
      <c r="A7" s="149">
        <v>5</v>
      </c>
      <c r="B7" s="147" t="s">
        <v>8</v>
      </c>
      <c r="C7" s="148">
        <f t="shared" si="0"/>
        <v>0.614754221694692</v>
      </c>
      <c r="D7" s="150">
        <v>0.38524577830530804</v>
      </c>
      <c r="E7" s="150">
        <v>0.2600304688973723</v>
      </c>
      <c r="F7" s="150">
        <v>0.3209371072924496</v>
      </c>
      <c r="G7" s="150">
        <v>0.002995033048592063</v>
      </c>
      <c r="H7" s="150">
        <v>0.0011538238378549688</v>
      </c>
      <c r="I7" s="148">
        <f t="shared" si="1"/>
        <v>0.0028487100121086413</v>
      </c>
      <c r="J7" s="149">
        <v>733597.2710847495</v>
      </c>
      <c r="L7" s="152"/>
    </row>
    <row r="8" spans="1:12" ht="19.5" customHeight="1">
      <c r="A8" s="149">
        <v>6</v>
      </c>
      <c r="B8" s="147" t="s">
        <v>9</v>
      </c>
      <c r="C8" s="148">
        <f t="shared" si="0"/>
        <v>0.7146715825274078</v>
      </c>
      <c r="D8" s="150">
        <v>0.2853284174725922</v>
      </c>
      <c r="E8" s="150">
        <v>0.10166855628050632</v>
      </c>
      <c r="F8" s="150">
        <v>0.11357236128095072</v>
      </c>
      <c r="G8" s="150">
        <v>0.0023666201417921378</v>
      </c>
      <c r="H8" s="150">
        <v>0.0006752639798163125</v>
      </c>
      <c r="I8" s="148">
        <f t="shared" si="1"/>
        <v>0.010245883987086049</v>
      </c>
      <c r="J8" s="149">
        <v>2638510.9403303517</v>
      </c>
      <c r="L8" s="152"/>
    </row>
    <row r="9" spans="1:12" ht="19.5" customHeight="1">
      <c r="A9" s="149">
        <v>7</v>
      </c>
      <c r="B9" s="147" t="s">
        <v>10</v>
      </c>
      <c r="C9" s="148">
        <f t="shared" si="0"/>
        <v>0.6743346685728084</v>
      </c>
      <c r="D9" s="150">
        <v>0.3256653314271915</v>
      </c>
      <c r="E9" s="150">
        <v>0.1591671424801035</v>
      </c>
      <c r="F9" s="150">
        <v>0.04969327927984113</v>
      </c>
      <c r="G9" s="150">
        <v>0.0011121696870691907</v>
      </c>
      <c r="H9" s="150">
        <v>0.0003621951097426639</v>
      </c>
      <c r="I9" s="148">
        <f t="shared" si="1"/>
        <v>0.014824828456440226</v>
      </c>
      <c r="J9" s="149">
        <v>3817676.6514377426</v>
      </c>
      <c r="L9" s="152"/>
    </row>
    <row r="10" spans="1:12" ht="19.5" customHeight="1">
      <c r="A10" s="149">
        <v>8</v>
      </c>
      <c r="B10" s="147" t="s">
        <v>11</v>
      </c>
      <c r="C10" s="148">
        <f t="shared" si="0"/>
        <v>0.5611886258111785</v>
      </c>
      <c r="D10" s="150">
        <v>0.43881137418882155</v>
      </c>
      <c r="E10" s="150">
        <v>0.29911799903984826</v>
      </c>
      <c r="F10" s="150">
        <v>0.41917033581554797</v>
      </c>
      <c r="G10" s="150">
        <v>0.001278526133959025</v>
      </c>
      <c r="H10" s="150">
        <v>0.0005610318097788811</v>
      </c>
      <c r="I10" s="148">
        <f t="shared" si="1"/>
        <v>0.0011827076603774262</v>
      </c>
      <c r="J10" s="149">
        <v>304569.82580044365</v>
      </c>
      <c r="L10" s="152"/>
    </row>
    <row r="11" spans="1:12" ht="19.5" customHeight="1">
      <c r="A11" s="149">
        <v>9</v>
      </c>
      <c r="B11" s="147" t="s">
        <v>12</v>
      </c>
      <c r="C11" s="148">
        <f t="shared" si="0"/>
        <v>0.5775104322631586</v>
      </c>
      <c r="D11" s="150">
        <v>0.4224895677368415</v>
      </c>
      <c r="E11" s="150">
        <v>0.3180322385118776</v>
      </c>
      <c r="F11" s="150">
        <v>0.18998232299280238</v>
      </c>
      <c r="G11" s="150">
        <v>0.00018026100712650734</v>
      </c>
      <c r="H11" s="150">
        <v>7.615839498068578E-05</v>
      </c>
      <c r="I11" s="148">
        <f t="shared" si="1"/>
        <v>-4.356088873420535E-05</v>
      </c>
      <c r="J11" s="149">
        <v>-11217.761360618528</v>
      </c>
      <c r="L11" s="152"/>
    </row>
    <row r="12" spans="1:12" ht="19.5" customHeight="1">
      <c r="A12" s="149">
        <v>10</v>
      </c>
      <c r="B12" s="147" t="s">
        <v>13</v>
      </c>
      <c r="C12" s="148">
        <f t="shared" si="0"/>
        <v>0.6258387976523254</v>
      </c>
      <c r="D12" s="150">
        <v>0.3741612023476746</v>
      </c>
      <c r="E12" s="150">
        <v>0.2573491033076758</v>
      </c>
      <c r="F12" s="150">
        <v>0.08631265397936905</v>
      </c>
      <c r="G12" s="150">
        <v>8.236840287103247E-05</v>
      </c>
      <c r="H12" s="150">
        <v>3.081906065368316E-05</v>
      </c>
      <c r="I12" s="148">
        <f t="shared" si="1"/>
        <v>0.0002827993377286883</v>
      </c>
      <c r="J12" s="149">
        <v>72826.23416933048</v>
      </c>
      <c r="L12" s="152"/>
    </row>
    <row r="13" spans="1:12" ht="19.5" customHeight="1">
      <c r="A13" s="149">
        <v>11</v>
      </c>
      <c r="B13" s="147" t="s">
        <v>14</v>
      </c>
      <c r="C13" s="148">
        <f t="shared" si="0"/>
        <v>0.507805335671123</v>
      </c>
      <c r="D13" s="150">
        <v>0.49219466432887704</v>
      </c>
      <c r="E13" s="150">
        <v>0.3668087147274481</v>
      </c>
      <c r="F13" s="150">
        <v>0.22987621598987884</v>
      </c>
      <c r="G13" s="150">
        <v>0.0009213360109140636</v>
      </c>
      <c r="H13" s="150">
        <v>0.00045347666862595416</v>
      </c>
      <c r="I13" s="148">
        <f t="shared" si="1"/>
        <v>0.00152396576445082</v>
      </c>
      <c r="J13" s="149">
        <v>392450.3095350758</v>
      </c>
      <c r="L13" s="152"/>
    </row>
    <row r="14" spans="1:12" ht="19.5" customHeight="1">
      <c r="A14" s="149">
        <v>12</v>
      </c>
      <c r="B14" s="147" t="s">
        <v>15</v>
      </c>
      <c r="C14" s="148">
        <f t="shared" si="0"/>
        <v>0.6183053565472516</v>
      </c>
      <c r="D14" s="150">
        <v>0.38169464345274834</v>
      </c>
      <c r="E14" s="150">
        <v>0.2550984063537087</v>
      </c>
      <c r="F14" s="150">
        <v>0.21932713421140415</v>
      </c>
      <c r="G14" s="150">
        <v>0.0003788356024673042</v>
      </c>
      <c r="H14" s="150">
        <v>0.00014459952021096478</v>
      </c>
      <c r="I14" s="148">
        <f t="shared" si="1"/>
        <v>0.000260317363635912</v>
      </c>
      <c r="J14" s="149">
        <v>67036.69617741297</v>
      </c>
      <c r="L14" s="152"/>
    </row>
    <row r="15" spans="1:12" ht="19.5" customHeight="1">
      <c r="A15" s="149">
        <v>13</v>
      </c>
      <c r="B15" s="147" t="s">
        <v>16</v>
      </c>
      <c r="C15" s="148">
        <f t="shared" si="0"/>
        <v>0.7721689459419654</v>
      </c>
      <c r="D15" s="150">
        <v>0.2278310540580346</v>
      </c>
      <c r="E15" s="150">
        <v>0.16042145462012442</v>
      </c>
      <c r="F15" s="150">
        <v>0.2056423071736</v>
      </c>
      <c r="G15" s="150">
        <v>0.006523950440198406</v>
      </c>
      <c r="H15" s="150">
        <v>0.0014863585054127818</v>
      </c>
      <c r="I15" s="148">
        <f t="shared" si="1"/>
        <v>0.027561240795353423</v>
      </c>
      <c r="J15" s="149">
        <v>7097546.239961</v>
      </c>
      <c r="L15" s="152"/>
    </row>
    <row r="16" spans="1:12" ht="19.5" customHeight="1">
      <c r="A16" s="149">
        <v>14</v>
      </c>
      <c r="B16" s="147" t="s">
        <v>17</v>
      </c>
      <c r="C16" s="148">
        <f t="shared" si="0"/>
        <v>0.6691490940391729</v>
      </c>
      <c r="D16" s="150">
        <v>0.33085090596082706</v>
      </c>
      <c r="E16" s="150">
        <v>0.22798409450994844</v>
      </c>
      <c r="F16" s="150">
        <v>0.15377476106995802</v>
      </c>
      <c r="G16" s="150">
        <v>0.0032650380403431993</v>
      </c>
      <c r="H16" s="150">
        <v>0.0010802407936441108</v>
      </c>
      <c r="I16" s="148">
        <f t="shared" si="1"/>
        <v>0.018024671299376616</v>
      </c>
      <c r="J16" s="149">
        <v>4641697.3371166745</v>
      </c>
      <c r="L16" s="152"/>
    </row>
    <row r="17" spans="1:12" ht="19.5" customHeight="1">
      <c r="A17" s="149">
        <v>15</v>
      </c>
      <c r="B17" s="147" t="s">
        <v>18</v>
      </c>
      <c r="C17" s="148">
        <f t="shared" si="0"/>
        <v>0.5558193360275139</v>
      </c>
      <c r="D17" s="150">
        <v>0.44418066397248607</v>
      </c>
      <c r="E17" s="150">
        <v>0.2960599187044071</v>
      </c>
      <c r="F17" s="150">
        <v>0.02610989301944222</v>
      </c>
      <c r="G17" s="150">
        <v>0.00010255104241568127</v>
      </c>
      <c r="H17" s="150">
        <v>4.5551190111267886E-05</v>
      </c>
      <c r="I17" s="148">
        <f t="shared" si="1"/>
        <v>0.0034240484703218135</v>
      </c>
      <c r="J17" s="149">
        <v>881757.9196243573</v>
      </c>
      <c r="L17" s="152"/>
    </row>
    <row r="18" spans="1:12" ht="19.5" customHeight="1">
      <c r="A18" s="149">
        <v>16</v>
      </c>
      <c r="B18" s="147" t="s">
        <v>19</v>
      </c>
      <c r="C18" s="148">
        <f t="shared" si="0"/>
        <v>0.5601103939481493</v>
      </c>
      <c r="D18" s="150">
        <v>0.4398896060518507</v>
      </c>
      <c r="E18" s="150">
        <v>0.2847228795083143</v>
      </c>
      <c r="F18" s="150">
        <v>0.26522421841503563</v>
      </c>
      <c r="G18" s="150">
        <v>0.008937759192318907</v>
      </c>
      <c r="H18" s="150">
        <v>0.003931627370095472</v>
      </c>
      <c r="I18" s="148">
        <f t="shared" si="1"/>
        <v>0.020254870465130182</v>
      </c>
      <c r="J18" s="149">
        <v>5216016.2446285235</v>
      </c>
      <c r="L18" s="152"/>
    </row>
    <row r="19" spans="1:12" ht="19.5" customHeight="1">
      <c r="A19" s="149">
        <v>17</v>
      </c>
      <c r="B19" s="147" t="s">
        <v>20</v>
      </c>
      <c r="C19" s="148">
        <f t="shared" si="0"/>
        <v>0.5204086013569487</v>
      </c>
      <c r="D19" s="150">
        <v>0.4795913986430514</v>
      </c>
      <c r="E19" s="150">
        <v>0.3509649331791515</v>
      </c>
      <c r="F19" s="150">
        <v>0.9997819782085136</v>
      </c>
      <c r="G19" s="150">
        <v>0.011844717004175808</v>
      </c>
      <c r="H19" s="150">
        <v>0.00568062439456381</v>
      </c>
      <c r="I19" s="148">
        <f t="shared" si="1"/>
        <v>0</v>
      </c>
      <c r="J19" s="149">
        <v>0</v>
      </c>
      <c r="L19" s="152"/>
    </row>
    <row r="20" spans="1:12" ht="19.5" customHeight="1">
      <c r="A20" s="149">
        <v>18</v>
      </c>
      <c r="B20" s="147" t="s">
        <v>21</v>
      </c>
      <c r="C20" s="148">
        <f t="shared" si="0"/>
        <v>0.4472945965056614</v>
      </c>
      <c r="D20" s="150">
        <v>0.5527054034943386</v>
      </c>
      <c r="E20" s="150">
        <v>0.09903639108033811</v>
      </c>
      <c r="F20" s="150">
        <v>0.46079258297120507</v>
      </c>
      <c r="G20" s="150">
        <v>0.014798575319562041</v>
      </c>
      <c r="H20" s="150">
        <v>0.008179252543139899</v>
      </c>
      <c r="I20" s="148">
        <f t="shared" si="1"/>
        <v>0.021828443801148983</v>
      </c>
      <c r="J20" s="149">
        <v>5621241.451914766</v>
      </c>
      <c r="L20" s="152"/>
    </row>
    <row r="21" spans="1:12" ht="19.5" customHeight="1">
      <c r="A21" s="149">
        <v>19</v>
      </c>
      <c r="B21" s="147" t="s">
        <v>22</v>
      </c>
      <c r="C21" s="148">
        <f t="shared" si="0"/>
        <v>0.3520643549576383</v>
      </c>
      <c r="D21" s="150">
        <v>0.6479356450423617</v>
      </c>
      <c r="E21" s="150">
        <v>0.33302181964774896</v>
      </c>
      <c r="F21" s="150">
        <v>0.7776125279728908</v>
      </c>
      <c r="G21" s="150">
        <v>0.010735650848633668</v>
      </c>
      <c r="H21" s="150">
        <v>0.006956010857559033</v>
      </c>
      <c r="I21" s="148">
        <f t="shared" si="1"/>
        <v>0.007547328248635226</v>
      </c>
      <c r="J21" s="149">
        <v>1943581.2643777411</v>
      </c>
      <c r="L21" s="152"/>
    </row>
    <row r="22" spans="1:12" ht="19.5" customHeight="1">
      <c r="A22" s="149">
        <v>20</v>
      </c>
      <c r="B22" s="147" t="s">
        <v>23</v>
      </c>
      <c r="C22" s="148">
        <f t="shared" si="0"/>
        <v>0.2898092369855947</v>
      </c>
      <c r="D22" s="150">
        <v>0.7101907630144053</v>
      </c>
      <c r="E22" s="150">
        <v>0.49459453427740385</v>
      </c>
      <c r="F22" s="150">
        <v>0.5729711100281956</v>
      </c>
      <c r="G22" s="150">
        <v>0.10853040814188715</v>
      </c>
      <c r="H22" s="150">
        <v>0.07707729336855167</v>
      </c>
      <c r="I22" s="148">
        <f t="shared" si="1"/>
        <v>0.1666632197073835</v>
      </c>
      <c r="J22" s="149">
        <v>42918964.24972855</v>
      </c>
      <c r="L22" s="152"/>
    </row>
    <row r="23" spans="1:12" ht="19.5" customHeight="1">
      <c r="A23" s="149">
        <v>21</v>
      </c>
      <c r="B23" s="147" t="s">
        <v>24</v>
      </c>
      <c r="C23" s="148">
        <f t="shared" si="0"/>
        <v>0.3179176413970032</v>
      </c>
      <c r="D23" s="150">
        <v>0.6820823586029968</v>
      </c>
      <c r="E23" s="150">
        <v>0.32955791516556293</v>
      </c>
      <c r="F23" s="150">
        <v>0.8692138125885011</v>
      </c>
      <c r="G23" s="150">
        <v>0.061094046982789765</v>
      </c>
      <c r="H23" s="150">
        <v>0.041671171662623546</v>
      </c>
      <c r="I23" s="148">
        <f t="shared" si="1"/>
        <v>0.03810940009496655</v>
      </c>
      <c r="J23" s="149">
        <v>9813898.850185303</v>
      </c>
      <c r="L23" s="152"/>
    </row>
    <row r="24" spans="1:12" ht="19.5" customHeight="1">
      <c r="A24" s="149">
        <v>22</v>
      </c>
      <c r="B24" s="147" t="s">
        <v>25</v>
      </c>
      <c r="C24" s="148">
        <f t="shared" si="0"/>
        <v>0.1330356030215064</v>
      </c>
      <c r="D24" s="150">
        <v>0.8669643969784936</v>
      </c>
      <c r="E24" s="150">
        <v>0.03298043855849057</v>
      </c>
      <c r="F24" s="150">
        <v>0.9735166569983756</v>
      </c>
      <c r="G24" s="150">
        <v>0.17031234876829218</v>
      </c>
      <c r="H24" s="150">
        <v>0.1476547427478933</v>
      </c>
      <c r="I24" s="148">
        <f t="shared" si="1"/>
        <v>0.16450604359084348</v>
      </c>
      <c r="J24" s="149">
        <v>42363450.172965236</v>
      </c>
      <c r="L24" s="152"/>
    </row>
    <row r="25" spans="1:12" ht="19.5" customHeight="1">
      <c r="A25" s="149">
        <v>23</v>
      </c>
      <c r="B25" s="147" t="s">
        <v>26</v>
      </c>
      <c r="C25" s="148">
        <f t="shared" si="0"/>
        <v>0.3601244747522476</v>
      </c>
      <c r="D25" s="150">
        <v>0.6398755252477524</v>
      </c>
      <c r="E25" s="150">
        <v>0.458216236420076</v>
      </c>
      <c r="F25" s="150">
        <v>0.7195225588005977</v>
      </c>
      <c r="G25" s="150">
        <v>0.04947382310231041</v>
      </c>
      <c r="H25" s="150">
        <v>0.03165708854360526</v>
      </c>
      <c r="I25" s="148">
        <f t="shared" si="1"/>
        <v>0.05335386438510853</v>
      </c>
      <c r="J25" s="149">
        <v>13739639.748648705</v>
      </c>
      <c r="L25" s="152"/>
    </row>
    <row r="26" spans="1:12" ht="19.5" customHeight="1">
      <c r="A26" s="149">
        <v>24</v>
      </c>
      <c r="B26" s="147" t="s">
        <v>27</v>
      </c>
      <c r="C26" s="148">
        <f t="shared" si="0"/>
        <v>0.43363421069335595</v>
      </c>
      <c r="D26" s="150">
        <v>0.566365789306644</v>
      </c>
      <c r="E26" s="150">
        <v>0.25483261980552857</v>
      </c>
      <c r="F26" s="150">
        <v>0.7370866939345961</v>
      </c>
      <c r="G26" s="150">
        <v>0.035495018906001395</v>
      </c>
      <c r="H26" s="150">
        <v>0.020103164399151736</v>
      </c>
      <c r="I26" s="148">
        <f t="shared" si="1"/>
        <v>0.03339184692754193</v>
      </c>
      <c r="J26" s="149">
        <v>8599038.750312163</v>
      </c>
      <c r="L26" s="152"/>
    </row>
    <row r="27" spans="1:12" ht="19.5" customHeight="1">
      <c r="A27" s="149">
        <v>25</v>
      </c>
      <c r="B27" s="147" t="s">
        <v>28</v>
      </c>
      <c r="C27" s="148">
        <f t="shared" si="0"/>
        <v>0.36335720879975064</v>
      </c>
      <c r="D27" s="150">
        <v>0.6366427912002494</v>
      </c>
      <c r="E27" s="150">
        <v>0.611572415059425</v>
      </c>
      <c r="F27" s="150">
        <v>1</v>
      </c>
      <c r="G27" s="150">
        <v>0.00427658263120689</v>
      </c>
      <c r="H27" s="150">
        <v>0.002722655503130061</v>
      </c>
      <c r="I27" s="148">
        <f t="shared" si="1"/>
        <v>0.0037397009811525033</v>
      </c>
      <c r="J27" s="149">
        <v>963044.4737390877</v>
      </c>
      <c r="L27" s="152"/>
    </row>
    <row r="28" spans="1:12" ht="19.5" customHeight="1">
      <c r="A28" s="149">
        <v>26</v>
      </c>
      <c r="B28" s="147" t="s">
        <v>29</v>
      </c>
      <c r="C28" s="148">
        <f t="shared" si="0"/>
        <v>0.20838511279748273</v>
      </c>
      <c r="D28" s="150">
        <v>0.7916148872025173</v>
      </c>
      <c r="E28" s="150">
        <v>0.7285175028986584</v>
      </c>
      <c r="F28" s="150">
        <v>0.9642986154388136</v>
      </c>
      <c r="G28" s="150">
        <v>0.032154945908276916</v>
      </c>
      <c r="H28" s="150">
        <v>0.025454333878183674</v>
      </c>
      <c r="I28" s="148">
        <f t="shared" si="1"/>
        <v>0.030775914115679617</v>
      </c>
      <c r="J28" s="149">
        <v>7925386.05699967</v>
      </c>
      <c r="L28" s="152"/>
    </row>
    <row r="29" spans="1:12" ht="19.5" customHeight="1">
      <c r="A29" s="149">
        <v>27</v>
      </c>
      <c r="B29" s="147" t="s">
        <v>30</v>
      </c>
      <c r="C29" s="148">
        <f t="shared" si="0"/>
        <v>0.3965523649066022</v>
      </c>
      <c r="D29" s="150">
        <v>0.6034476350933978</v>
      </c>
      <c r="E29" s="150">
        <v>0.50200103611532</v>
      </c>
      <c r="F29" s="150">
        <v>0.9874023781592997</v>
      </c>
      <c r="G29" s="150">
        <v>0.04114951256393028</v>
      </c>
      <c r="H29" s="150">
        <v>0.024831576041949785</v>
      </c>
      <c r="I29" s="148">
        <f t="shared" si="1"/>
        <v>0.04094446531510642</v>
      </c>
      <c r="J29" s="149">
        <v>10543982.326566393</v>
      </c>
      <c r="L29" s="152"/>
    </row>
    <row r="30" spans="1:12" ht="19.5" customHeight="1">
      <c r="A30" s="149">
        <v>28</v>
      </c>
      <c r="B30" s="147" t="s">
        <v>31</v>
      </c>
      <c r="C30" s="148">
        <f t="shared" si="0"/>
        <v>0.3191915206222641</v>
      </c>
      <c r="D30" s="150">
        <v>0.6808084793777359</v>
      </c>
      <c r="E30" s="150">
        <v>0.5496480173193089</v>
      </c>
      <c r="F30" s="150">
        <v>0.9805392531466414</v>
      </c>
      <c r="G30" s="150">
        <v>0.015120861338278857</v>
      </c>
      <c r="H30" s="150">
        <v>0.010294410614595226</v>
      </c>
      <c r="I30" s="148">
        <f t="shared" si="1"/>
        <v>0.014345312846623038</v>
      </c>
      <c r="J30" s="149">
        <v>3694192.217673267</v>
      </c>
      <c r="L30" s="152"/>
    </row>
    <row r="31" spans="1:12" ht="19.5" customHeight="1">
      <c r="A31" s="149">
        <v>29</v>
      </c>
      <c r="B31" s="147" t="s">
        <v>32</v>
      </c>
      <c r="C31" s="148">
        <f t="shared" si="0"/>
        <v>0.3475710867260725</v>
      </c>
      <c r="D31" s="150">
        <v>0.6524289132739275</v>
      </c>
      <c r="E31" s="150">
        <v>0.37509469164188486</v>
      </c>
      <c r="F31" s="150">
        <v>0.7451047832601387</v>
      </c>
      <c r="G31" s="150">
        <v>0.05437527301129277</v>
      </c>
      <c r="H31" s="150">
        <v>0.035476000279730864</v>
      </c>
      <c r="I31" s="148">
        <f t="shared" si="1"/>
        <v>0.022346385635380595</v>
      </c>
      <c r="J31" s="149">
        <v>5754621.372846658</v>
      </c>
      <c r="L31" s="152"/>
    </row>
    <row r="32" spans="1:12" ht="19.5" customHeight="1">
      <c r="A32" s="149">
        <v>30</v>
      </c>
      <c r="B32" s="147" t="s">
        <v>33</v>
      </c>
      <c r="C32" s="148">
        <f t="shared" si="0"/>
        <v>0.43071525145545475</v>
      </c>
      <c r="D32" s="150">
        <v>0.5692847485445452</v>
      </c>
      <c r="E32" s="150">
        <v>0.30030781715360805</v>
      </c>
      <c r="F32" s="150">
        <v>0.819607434521075</v>
      </c>
      <c r="G32" s="150">
        <v>0.1363866119975752</v>
      </c>
      <c r="H32" s="150">
        <v>0.07764281811588207</v>
      </c>
      <c r="I32" s="148">
        <f t="shared" si="1"/>
        <v>0.16010301781285144</v>
      </c>
      <c r="J32" s="149">
        <v>41229586.886944115</v>
      </c>
      <c r="L32" s="152"/>
    </row>
    <row r="33" spans="1:12" ht="19.5" customHeight="1">
      <c r="A33" s="149">
        <v>31</v>
      </c>
      <c r="B33" s="147" t="s">
        <v>34</v>
      </c>
      <c r="C33" s="148">
        <f t="shared" si="0"/>
        <v>1</v>
      </c>
      <c r="D33" s="150">
        <v>0</v>
      </c>
      <c r="E33" s="150">
        <v>0</v>
      </c>
      <c r="F33" s="150">
        <v>1</v>
      </c>
      <c r="G33" s="150">
        <v>0.0018123140522147165</v>
      </c>
      <c r="H33" s="150">
        <v>0</v>
      </c>
      <c r="I33" s="148">
        <f t="shared" si="1"/>
        <v>0</v>
      </c>
      <c r="J33" s="149">
        <v>0</v>
      </c>
      <c r="L33" s="152"/>
    </row>
    <row r="34" spans="1:12" ht="19.5" customHeight="1">
      <c r="A34" s="149">
        <v>32</v>
      </c>
      <c r="B34" s="147" t="s">
        <v>35</v>
      </c>
      <c r="C34" s="148">
        <f t="shared" si="0"/>
        <v>0.694511898518896</v>
      </c>
      <c r="D34" s="150">
        <v>0.305488101481104</v>
      </c>
      <c r="E34" s="150">
        <v>0.0644659690798278</v>
      </c>
      <c r="F34" s="150">
        <v>0.7803216421347382</v>
      </c>
      <c r="G34" s="150">
        <v>0.003190740131035909</v>
      </c>
      <c r="H34" s="150">
        <v>0.0009747331449497288</v>
      </c>
      <c r="I34" s="148">
        <f t="shared" si="1"/>
        <v>0.00013211029884303678</v>
      </c>
      <c r="J34" s="149">
        <v>34020.926770887636</v>
      </c>
      <c r="L34" s="152"/>
    </row>
    <row r="35" spans="10:12" ht="19.5" customHeight="1">
      <c r="J35" s="149">
        <v>257519111.44572207</v>
      </c>
      <c r="L35" s="152"/>
    </row>
    <row r="36" ht="19.5" customHeight="1">
      <c r="J36" s="149"/>
    </row>
    <row r="37" ht="19.5" customHeight="1">
      <c r="J37" s="149"/>
    </row>
    <row r="38" ht="19.5" customHeight="1">
      <c r="J38" s="149"/>
    </row>
    <row r="39" ht="19.5" customHeight="1">
      <c r="J39" s="149"/>
    </row>
    <row r="40" ht="19.5" customHeight="1">
      <c r="J40" s="149"/>
    </row>
    <row r="41" ht="19.5" customHeight="1">
      <c r="J41" s="149"/>
    </row>
    <row r="42" ht="19.5" customHeight="1">
      <c r="J42" s="149"/>
    </row>
    <row r="43" ht="19.5" customHeight="1">
      <c r="J43" s="149"/>
    </row>
    <row r="44" ht="19.5" customHeight="1">
      <c r="J44" s="149"/>
    </row>
    <row r="45" ht="19.5" customHeight="1">
      <c r="J45" s="149"/>
    </row>
    <row r="46" ht="19.5" customHeight="1">
      <c r="J46" s="149"/>
    </row>
    <row r="47" ht="19.5" customHeight="1">
      <c r="J47" s="149"/>
    </row>
    <row r="48" ht="19.5" customHeight="1">
      <c r="J48" s="149"/>
    </row>
    <row r="49" ht="19.5" customHeight="1">
      <c r="J49" s="149"/>
    </row>
    <row r="50" ht="19.5" customHeight="1">
      <c r="J50" s="149"/>
    </row>
    <row r="51" ht="19.5" customHeight="1">
      <c r="J51" s="149"/>
    </row>
    <row r="52" ht="19.5" customHeight="1">
      <c r="J52" s="149"/>
    </row>
    <row r="53" ht="19.5" customHeight="1">
      <c r="J53" s="149"/>
    </row>
    <row r="54" ht="19.5" customHeight="1">
      <c r="J54" s="149"/>
    </row>
    <row r="55" ht="19.5" customHeight="1">
      <c r="J55" s="149"/>
    </row>
    <row r="56" ht="19.5" customHeight="1">
      <c r="J56" s="149"/>
    </row>
    <row r="57" ht="19.5" customHeight="1">
      <c r="J57" s="149"/>
    </row>
    <row r="58" ht="19.5" customHeight="1">
      <c r="J58" s="149"/>
    </row>
    <row r="59" ht="19.5" customHeight="1">
      <c r="J59" s="149"/>
    </row>
    <row r="60" ht="19.5" customHeight="1">
      <c r="J60" s="149"/>
    </row>
    <row r="61" ht="19.5" customHeight="1">
      <c r="J61" s="149"/>
    </row>
    <row r="62" ht="19.5" customHeight="1">
      <c r="J62" s="149"/>
    </row>
    <row r="63" ht="19.5" customHeight="1">
      <c r="J63" s="149"/>
    </row>
    <row r="64" ht="19.5" customHeight="1">
      <c r="J64" s="149"/>
    </row>
    <row r="65" ht="19.5" customHeight="1">
      <c r="J65" s="149"/>
    </row>
    <row r="66" ht="19.5" customHeight="1">
      <c r="J66" s="149"/>
    </row>
    <row r="67" ht="19.5" customHeight="1">
      <c r="J67" s="149"/>
    </row>
    <row r="68" ht="19.5" customHeight="1">
      <c r="J68" s="149"/>
    </row>
    <row r="69" ht="19.5" customHeight="1">
      <c r="J69" s="149"/>
    </row>
    <row r="70" ht="19.5" customHeight="1">
      <c r="J70" s="149"/>
    </row>
    <row r="71" ht="19.5" customHeight="1">
      <c r="J71" s="149"/>
    </row>
    <row r="72" ht="19.5" customHeight="1">
      <c r="J72" s="149"/>
    </row>
    <row r="73" ht="19.5" customHeight="1">
      <c r="J73" s="149"/>
    </row>
    <row r="74" ht="19.5" customHeight="1">
      <c r="J74" s="149"/>
    </row>
    <row r="75" ht="19.5" customHeight="1">
      <c r="J75" s="149"/>
    </row>
    <row r="76" ht="19.5" customHeight="1">
      <c r="J76" s="149"/>
    </row>
    <row r="77" ht="19.5" customHeight="1">
      <c r="J77" s="149"/>
    </row>
    <row r="78" ht="19.5" customHeight="1">
      <c r="J78" s="149"/>
    </row>
    <row r="79" ht="19.5" customHeight="1">
      <c r="J79" s="149"/>
    </row>
    <row r="80" ht="19.5" customHeight="1">
      <c r="J80" s="149"/>
    </row>
    <row r="81" ht="19.5" customHeight="1">
      <c r="J81" s="149"/>
    </row>
    <row r="82" ht="19.5" customHeight="1">
      <c r="J82" s="149"/>
    </row>
    <row r="83" ht="19.5" customHeight="1">
      <c r="J83" s="149"/>
    </row>
    <row r="84" ht="19.5" customHeight="1">
      <c r="J84" s="149"/>
    </row>
    <row r="85" ht="19.5" customHeight="1">
      <c r="J85" s="149"/>
    </row>
    <row r="86" ht="19.5" customHeight="1">
      <c r="J86" s="149"/>
    </row>
    <row r="87" ht="19.5" customHeight="1">
      <c r="J87" s="149"/>
    </row>
    <row r="88" ht="19.5" customHeight="1">
      <c r="J88" s="149"/>
    </row>
    <row r="89" ht="19.5" customHeight="1">
      <c r="J89" s="149"/>
    </row>
    <row r="90" ht="19.5" customHeight="1">
      <c r="J90" s="149"/>
    </row>
    <row r="91" ht="19.5" customHeight="1">
      <c r="J91" s="149"/>
    </row>
    <row r="92" ht="19.5" customHeight="1">
      <c r="J92" s="149"/>
    </row>
    <row r="93" ht="19.5" customHeight="1">
      <c r="J93" s="149"/>
    </row>
    <row r="94" ht="19.5" customHeight="1">
      <c r="J94" s="149"/>
    </row>
    <row r="95" ht="19.5" customHeight="1">
      <c r="J95" s="149"/>
    </row>
    <row r="96" ht="19.5" customHeight="1">
      <c r="J96" s="149"/>
    </row>
    <row r="97" ht="19.5" customHeight="1">
      <c r="J97" s="149"/>
    </row>
    <row r="98" ht="19.5" customHeight="1">
      <c r="J98" s="149"/>
    </row>
    <row r="99" ht="19.5" customHeight="1">
      <c r="J99" s="149"/>
    </row>
    <row r="100" ht="19.5" customHeight="1">
      <c r="J100" s="149"/>
    </row>
  </sheetData>
  <sheetProtection/>
  <mergeCells count="2">
    <mergeCell ref="C1:F1"/>
    <mergeCell ref="G1:I1"/>
  </mergeCells>
  <printOptions verticalCentered="1"/>
  <pageMargins left="0.7874015748031497" right="0.7874015748031497" top="0.984251968503937" bottom="0.984251968503937" header="0.5118110236220472" footer="0.5118110236220472"/>
  <pageSetup fitToHeight="1" fitToWidth="1" horizontalDpi="300" verticalDpi="300" orientation="landscape" paperSize="12" scale="32" r:id="rId1"/>
  <headerFooter alignWithMargins="0">
    <oddHeader>&amp;LFILE=&amp;F,SHEET=&amp;A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I35"/>
  <sheetViews>
    <sheetView showGridLines="0" zoomScale="80" zoomScaleNormal="80" zoomScalePageLayoutView="0" workbookViewId="0" topLeftCell="A1">
      <selection activeCell="A1" sqref="A1"/>
    </sheetView>
  </sheetViews>
  <sheetFormatPr defaultColWidth="10.59765625" defaultRowHeight="19.5" customHeight="1"/>
  <cols>
    <col min="1" max="1" width="4.09765625" style="3" customWidth="1"/>
    <col min="2" max="2" width="19.09765625" style="1" customWidth="1"/>
    <col min="3" max="16384" width="10.59765625" style="1" customWidth="1"/>
  </cols>
  <sheetData>
    <row r="1" spans="3:35" s="6" customFormat="1" ht="21" customHeight="1">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c r="V1" s="6">
        <v>20</v>
      </c>
      <c r="W1" s="6">
        <v>21</v>
      </c>
      <c r="X1" s="6">
        <v>22</v>
      </c>
      <c r="Y1" s="6">
        <v>23</v>
      </c>
      <c r="Z1" s="6">
        <v>24</v>
      </c>
      <c r="AA1" s="6">
        <v>25</v>
      </c>
      <c r="AB1" s="6">
        <v>26</v>
      </c>
      <c r="AC1" s="6">
        <v>27</v>
      </c>
      <c r="AD1" s="6">
        <v>28</v>
      </c>
      <c r="AE1" s="6">
        <v>29</v>
      </c>
      <c r="AF1" s="6">
        <v>30</v>
      </c>
      <c r="AG1" s="6">
        <v>31</v>
      </c>
      <c r="AH1" s="6">
        <v>32</v>
      </c>
      <c r="AI1" s="6">
        <v>33</v>
      </c>
    </row>
    <row r="2" spans="1:35" s="4" customFormat="1" ht="27">
      <c r="A2" s="6"/>
      <c r="C2" s="4" t="s">
        <v>4</v>
      </c>
      <c r="D2" s="4" t="s">
        <v>5</v>
      </c>
      <c r="E2" s="4" t="s">
        <v>6</v>
      </c>
      <c r="F2" s="4" t="s">
        <v>7</v>
      </c>
      <c r="G2" s="7" t="s">
        <v>8</v>
      </c>
      <c r="H2" s="4" t="s">
        <v>9</v>
      </c>
      <c r="I2" s="4" t="s">
        <v>10</v>
      </c>
      <c r="J2" s="4" t="s">
        <v>11</v>
      </c>
      <c r="K2" s="4" t="s">
        <v>12</v>
      </c>
      <c r="L2" s="4" t="s">
        <v>13</v>
      </c>
      <c r="M2" s="4" t="s">
        <v>14</v>
      </c>
      <c r="N2" s="4" t="s">
        <v>15</v>
      </c>
      <c r="O2" s="4" t="s">
        <v>16</v>
      </c>
      <c r="P2" s="4" t="s">
        <v>17</v>
      </c>
      <c r="Q2" s="4" t="s">
        <v>18</v>
      </c>
      <c r="R2" s="4" t="s">
        <v>19</v>
      </c>
      <c r="S2" s="4" t="s">
        <v>20</v>
      </c>
      <c r="T2" s="4" t="s">
        <v>38</v>
      </c>
      <c r="U2" s="4" t="s">
        <v>22</v>
      </c>
      <c r="V2" s="4" t="s">
        <v>23</v>
      </c>
      <c r="W2" s="4" t="s">
        <v>24</v>
      </c>
      <c r="X2" s="4" t="s">
        <v>25</v>
      </c>
      <c r="Y2" s="4" t="s">
        <v>26</v>
      </c>
      <c r="Z2" s="4" t="s">
        <v>27</v>
      </c>
      <c r="AA2" s="4" t="s">
        <v>28</v>
      </c>
      <c r="AB2" s="4" t="s">
        <v>29</v>
      </c>
      <c r="AC2" s="4" t="s">
        <v>30</v>
      </c>
      <c r="AD2" s="4" t="s">
        <v>31</v>
      </c>
      <c r="AE2" s="4" t="s">
        <v>32</v>
      </c>
      <c r="AF2" s="4" t="s">
        <v>33</v>
      </c>
      <c r="AG2" s="4" t="s">
        <v>34</v>
      </c>
      <c r="AH2" s="4" t="s">
        <v>35</v>
      </c>
      <c r="AI2" s="4" t="s">
        <v>39</v>
      </c>
    </row>
    <row r="3" spans="1:35" ht="21" customHeight="1">
      <c r="A3" s="3">
        <v>1</v>
      </c>
      <c r="B3" s="1" t="s">
        <v>4</v>
      </c>
      <c r="C3" s="1">
        <v>0.06839882354333218</v>
      </c>
      <c r="D3" s="1">
        <v>4.9687164068809625E-05</v>
      </c>
      <c r="E3" s="1">
        <v>0.12628938736836245</v>
      </c>
      <c r="F3" s="1">
        <v>0.015221414600063246</v>
      </c>
      <c r="G3" s="1">
        <v>0.06791380932263673</v>
      </c>
      <c r="H3" s="1">
        <v>0.0013150794238395171</v>
      </c>
      <c r="I3" s="1">
        <v>0.0007603467116686997</v>
      </c>
      <c r="J3" s="1">
        <v>0.0001752165167555374</v>
      </c>
      <c r="K3" s="1">
        <v>5.370167137233428E-06</v>
      </c>
      <c r="L3" s="1">
        <v>1.5171801865351897E-05</v>
      </c>
      <c r="M3" s="1">
        <v>6.601313056203994E-08</v>
      </c>
      <c r="N3" s="1">
        <v>8.037781006756073E-08</v>
      </c>
      <c r="O3" s="1">
        <v>1.0037945834027457E-07</v>
      </c>
      <c r="P3" s="1">
        <v>6.413461126791189E-06</v>
      </c>
      <c r="Q3" s="1">
        <v>7.225480750337894E-08</v>
      </c>
      <c r="R3" s="1">
        <v>0.0031305386834254655</v>
      </c>
      <c r="S3" s="1">
        <v>0.002191310260885521</v>
      </c>
      <c r="T3" s="1">
        <v>5.8146851143244005E-08</v>
      </c>
      <c r="U3" s="1">
        <v>4.5767209620550054E-08</v>
      </c>
      <c r="V3" s="1">
        <v>0.00011816549946311172</v>
      </c>
      <c r="W3" s="1">
        <v>4.132823236907807E-08</v>
      </c>
      <c r="X3" s="1">
        <v>1.3468156361557164E-06</v>
      </c>
      <c r="Y3" s="1">
        <v>3.417373075474501E-05</v>
      </c>
      <c r="Z3" s="1">
        <v>5.637101312046399E-08</v>
      </c>
      <c r="AA3" s="1">
        <v>8.699363304658459E-05</v>
      </c>
      <c r="AB3" s="1">
        <v>0.000786552793022576</v>
      </c>
      <c r="AC3" s="1">
        <v>0.004573568798413949</v>
      </c>
      <c r="AD3" s="1">
        <v>0.0019636726922132672</v>
      </c>
      <c r="AE3" s="1">
        <v>1.7606658679967608E-05</v>
      </c>
      <c r="AF3" s="1">
        <v>0.01922822074058775</v>
      </c>
      <c r="AG3" s="1">
        <v>1.2999682705314534E-07</v>
      </c>
      <c r="AH3" s="1">
        <v>9.028428999297289E-08</v>
      </c>
      <c r="AI3" s="1">
        <v>0.011381669129663702</v>
      </c>
    </row>
    <row r="4" spans="1:35" ht="21" customHeight="1">
      <c r="A4" s="3">
        <v>2</v>
      </c>
      <c r="B4" s="1" t="s">
        <v>5</v>
      </c>
      <c r="C4" s="1">
        <v>1.7452859460597013E-05</v>
      </c>
      <c r="D4" s="1">
        <v>0.0026478451241171964</v>
      </c>
      <c r="E4" s="1">
        <v>2.9472565505567313E-06</v>
      </c>
      <c r="F4" s="1">
        <v>1.2579361062302961E-05</v>
      </c>
      <c r="G4" s="1">
        <v>0.00024256048326393861</v>
      </c>
      <c r="H4" s="1">
        <v>0.0016541395096136226</v>
      </c>
      <c r="I4" s="1">
        <v>0.0789955776709075</v>
      </c>
      <c r="J4" s="1">
        <v>0.07279581819527908</v>
      </c>
      <c r="K4" s="1">
        <v>0.0007833768601451491</v>
      </c>
      <c r="L4" s="1">
        <v>0.0003036711990213059</v>
      </c>
      <c r="M4" s="1">
        <v>0.00010471979493173521</v>
      </c>
      <c r="N4" s="1">
        <v>1.220259172154252E-05</v>
      </c>
      <c r="O4" s="1">
        <v>4.745006234711632E-06</v>
      </c>
      <c r="P4" s="1">
        <v>1.1170761178800427E-05</v>
      </c>
      <c r="Q4" s="1">
        <v>2.1706306419711316E-05</v>
      </c>
      <c r="R4" s="1">
        <v>0.0008865641502087533</v>
      </c>
      <c r="S4" s="1">
        <v>0.01038056813593605</v>
      </c>
      <c r="T4" s="1">
        <v>0.09802588520511324</v>
      </c>
      <c r="U4" s="1">
        <v>9.174988167313205E-06</v>
      </c>
      <c r="V4" s="1">
        <v>1.7386279078634258E-08</v>
      </c>
      <c r="W4" s="1">
        <v>1.9072557601334563E-08</v>
      </c>
      <c r="X4" s="1">
        <v>7.981087867068183E-09</v>
      </c>
      <c r="Y4" s="1">
        <v>9.871974522950634E-07</v>
      </c>
      <c r="Z4" s="1">
        <v>2.6014647449331965E-08</v>
      </c>
      <c r="AA4" s="1">
        <v>2.5788806736143584E-05</v>
      </c>
      <c r="AB4" s="1">
        <v>8.7348375231164E-05</v>
      </c>
      <c r="AC4" s="1">
        <v>2.1696652726765417E-06</v>
      </c>
      <c r="AD4" s="1">
        <v>1.914898493205642E-08</v>
      </c>
      <c r="AE4" s="1">
        <v>1.0737808112107403E-06</v>
      </c>
      <c r="AF4" s="1">
        <v>7.224322742430923E-06</v>
      </c>
      <c r="AG4" s="1">
        <v>5.999220943736554E-08</v>
      </c>
      <c r="AH4" s="1">
        <v>0.0002345549697670451</v>
      </c>
      <c r="AI4" s="1">
        <v>0.004386268273013703</v>
      </c>
    </row>
    <row r="5" spans="1:35" ht="21" customHeight="1">
      <c r="A5" s="3">
        <v>3</v>
      </c>
      <c r="B5" s="1" t="s">
        <v>6</v>
      </c>
      <c r="C5" s="1">
        <v>0.053200264461388924</v>
      </c>
      <c r="D5" s="1">
        <v>6.29861386964749E-08</v>
      </c>
      <c r="E5" s="1">
        <v>0.07482642507187504</v>
      </c>
      <c r="F5" s="1">
        <v>0.000681632073614859</v>
      </c>
      <c r="G5" s="1">
        <v>0.00035962830608394</v>
      </c>
      <c r="H5" s="1">
        <v>0.0036480141051958652</v>
      </c>
      <c r="I5" s="1">
        <v>1.0201435393745231E-07</v>
      </c>
      <c r="J5" s="1">
        <v>0.00033714716789630655</v>
      </c>
      <c r="K5" s="1">
        <v>7.251041874144089E-06</v>
      </c>
      <c r="L5" s="1">
        <v>6.884194908620527E-08</v>
      </c>
      <c r="M5" s="1">
        <v>5.5858309364867613E-08</v>
      </c>
      <c r="N5" s="1">
        <v>6.801326558213804E-08</v>
      </c>
      <c r="O5" s="1">
        <v>8.493805384035446E-08</v>
      </c>
      <c r="P5" s="1">
        <v>7.360602670431174E-08</v>
      </c>
      <c r="Q5" s="1">
        <v>6.113982712620462E-08</v>
      </c>
      <c r="R5" s="1">
        <v>6.995993800154947E-05</v>
      </c>
      <c r="S5" s="1">
        <v>5.724464001264317E-08</v>
      </c>
      <c r="T5" s="1">
        <v>4.920210224994153E-08</v>
      </c>
      <c r="U5" s="1">
        <v>3.8726824981415184E-08</v>
      </c>
      <c r="V5" s="1">
        <v>0.00015045866884376503</v>
      </c>
      <c r="W5" s="1">
        <v>3.497069703436527E-08</v>
      </c>
      <c r="X5" s="1">
        <v>1.4633811135238642E-08</v>
      </c>
      <c r="Y5" s="1">
        <v>0.0001444770815513678</v>
      </c>
      <c r="Z5" s="1">
        <v>4.7699441963816835E-08</v>
      </c>
      <c r="AA5" s="1">
        <v>0.0003839902963451556</v>
      </c>
      <c r="AB5" s="1">
        <v>0.0005315030220043467</v>
      </c>
      <c r="AC5" s="1">
        <v>0.014278935267163657</v>
      </c>
      <c r="AD5" s="1">
        <v>0.0014323305852256762</v>
      </c>
      <c r="AE5" s="1">
        <v>3.823259525613883E-08</v>
      </c>
      <c r="AF5" s="1">
        <v>0.09930749959123326</v>
      </c>
      <c r="AG5" s="1">
        <v>1.0999937315745733E-07</v>
      </c>
      <c r="AH5" s="1">
        <v>0.00023889112689152615</v>
      </c>
      <c r="AI5" s="1">
        <v>0.013731526060546652</v>
      </c>
    </row>
    <row r="6" spans="1:35" ht="21" customHeight="1">
      <c r="A6" s="3">
        <v>4</v>
      </c>
      <c r="B6" s="1" t="s">
        <v>7</v>
      </c>
      <c r="C6" s="1">
        <v>0.007161168851714177</v>
      </c>
      <c r="D6" s="1">
        <v>0.0076171355183020685</v>
      </c>
      <c r="E6" s="1">
        <v>0.0007408770557610356</v>
      </c>
      <c r="F6" s="1">
        <v>0.14351674925460914</v>
      </c>
      <c r="G6" s="1">
        <v>0.005967844466071026</v>
      </c>
      <c r="H6" s="1">
        <v>0.0011064739377526272</v>
      </c>
      <c r="I6" s="1">
        <v>0.009048614465401627</v>
      </c>
      <c r="J6" s="1">
        <v>0.003050249573142759</v>
      </c>
      <c r="K6" s="1">
        <v>0.0011906852724164344</v>
      </c>
      <c r="L6" s="1">
        <v>0.0014716052695051603</v>
      </c>
      <c r="M6" s="1">
        <v>0.0012806746616768141</v>
      </c>
      <c r="N6" s="1">
        <v>0.0009124911725249622</v>
      </c>
      <c r="O6" s="1">
        <v>0.0023939109418979736</v>
      </c>
      <c r="P6" s="1">
        <v>0.0008730363212152473</v>
      </c>
      <c r="Q6" s="1">
        <v>0.001286612012346317</v>
      </c>
      <c r="R6" s="1">
        <v>0.00210317834184088</v>
      </c>
      <c r="S6" s="1">
        <v>0.002385589697183713</v>
      </c>
      <c r="T6" s="1">
        <v>0.00021304979399821658</v>
      </c>
      <c r="U6" s="1">
        <v>0.00118774038307275</v>
      </c>
      <c r="V6" s="1">
        <v>0.0031142176742421073</v>
      </c>
      <c r="W6" s="1">
        <v>0.001347716931785869</v>
      </c>
      <c r="X6" s="1">
        <v>2.2017727116040754E-05</v>
      </c>
      <c r="Y6" s="1">
        <v>0.0018756190292099069</v>
      </c>
      <c r="Z6" s="1">
        <v>0.0006398587354457926</v>
      </c>
      <c r="AA6" s="1">
        <v>0.0026866737616432924</v>
      </c>
      <c r="AB6" s="1">
        <v>0.00015381535513414195</v>
      </c>
      <c r="AC6" s="1">
        <v>0.0033040654367352228</v>
      </c>
      <c r="AD6" s="1">
        <v>0.014780160975663679</v>
      </c>
      <c r="AE6" s="1">
        <v>0.00156259941780523</v>
      </c>
      <c r="AF6" s="1">
        <v>0.0042796852060182486</v>
      </c>
      <c r="AG6" s="1">
        <v>0.017086949904089592</v>
      </c>
      <c r="AH6" s="1">
        <v>0.007228496810476805</v>
      </c>
      <c r="AI6" s="1">
        <v>0.005149414637604593</v>
      </c>
    </row>
    <row r="7" spans="1:35" ht="21" customHeight="1">
      <c r="A7" s="3">
        <v>5</v>
      </c>
      <c r="B7" s="1" t="s">
        <v>8</v>
      </c>
      <c r="C7" s="1">
        <v>0.012689760102101905</v>
      </c>
      <c r="D7" s="1">
        <v>0.0038601276105975375</v>
      </c>
      <c r="E7" s="1">
        <v>0.011082080462340221</v>
      </c>
      <c r="F7" s="1">
        <v>0.009906811750661418</v>
      </c>
      <c r="G7" s="1">
        <v>0.14384891265170818</v>
      </c>
      <c r="H7" s="1">
        <v>0.01201165253785188</v>
      </c>
      <c r="I7" s="1">
        <v>0.000260495046381868</v>
      </c>
      <c r="J7" s="1">
        <v>0.019804520606534242</v>
      </c>
      <c r="K7" s="1">
        <v>0.003296976407272574</v>
      </c>
      <c r="L7" s="1">
        <v>0.0047105906500278525</v>
      </c>
      <c r="M7" s="1">
        <v>0.004272119793721842</v>
      </c>
      <c r="N7" s="1">
        <v>0.0011744678716557125</v>
      </c>
      <c r="O7" s="1">
        <v>0.004554950091585246</v>
      </c>
      <c r="P7" s="1">
        <v>0.001500557484663209</v>
      </c>
      <c r="Q7" s="1">
        <v>0.008049630402131934</v>
      </c>
      <c r="R7" s="1">
        <v>0.07264036305486025</v>
      </c>
      <c r="S7" s="1">
        <v>0.04648106264692324</v>
      </c>
      <c r="T7" s="1">
        <v>0.0011277919037041401</v>
      </c>
      <c r="U7" s="1">
        <v>0.002545927398321519</v>
      </c>
      <c r="V7" s="1">
        <v>0.007718918072360296</v>
      </c>
      <c r="W7" s="1">
        <v>0.0043609176922771685</v>
      </c>
      <c r="X7" s="1">
        <v>0.0005344923904996312</v>
      </c>
      <c r="Y7" s="1">
        <v>0.007099192683903156</v>
      </c>
      <c r="Z7" s="1">
        <v>0.0019041142475223409</v>
      </c>
      <c r="AA7" s="1">
        <v>0.002569595468520431</v>
      </c>
      <c r="AB7" s="1">
        <v>0.004632868621316082</v>
      </c>
      <c r="AC7" s="1">
        <v>0.004804729623501593</v>
      </c>
      <c r="AD7" s="1">
        <v>0.013234909476451721</v>
      </c>
      <c r="AE7" s="1">
        <v>0.003914539590475242</v>
      </c>
      <c r="AF7" s="1">
        <v>0.006163335794206682</v>
      </c>
      <c r="AG7" s="1">
        <v>0.42230704909504524</v>
      </c>
      <c r="AH7" s="1">
        <v>0.01608799344429603</v>
      </c>
      <c r="AI7" s="1">
        <v>0.01382830332332256</v>
      </c>
    </row>
    <row r="8" spans="1:35" ht="21" customHeight="1">
      <c r="A8" s="3">
        <v>6</v>
      </c>
      <c r="B8" s="1" t="s">
        <v>9</v>
      </c>
      <c r="C8" s="1">
        <v>0.04317127991728352</v>
      </c>
      <c r="D8" s="1">
        <v>0.009964667532459058</v>
      </c>
      <c r="E8" s="1">
        <v>0.005800745464175267</v>
      </c>
      <c r="F8" s="1">
        <v>0.17623966024019036</v>
      </c>
      <c r="G8" s="1">
        <v>0.02561191169957346</v>
      </c>
      <c r="H8" s="1">
        <v>0.27937871820617327</v>
      </c>
      <c r="I8" s="1">
        <v>0.03860883386586407</v>
      </c>
      <c r="J8" s="1">
        <v>0.013270521061176706</v>
      </c>
      <c r="K8" s="1">
        <v>0.0049410852182056805</v>
      </c>
      <c r="L8" s="1">
        <v>0.0073808650868603005</v>
      </c>
      <c r="M8" s="1">
        <v>0.00814670633313329</v>
      </c>
      <c r="N8" s="1">
        <v>0.0038800121194255436</v>
      </c>
      <c r="O8" s="1">
        <v>0.012832468392539417</v>
      </c>
      <c r="P8" s="1">
        <v>0.021272556893457088</v>
      </c>
      <c r="Q8" s="1">
        <v>0.009056229169540846</v>
      </c>
      <c r="R8" s="1">
        <v>0.0879755586963925</v>
      </c>
      <c r="S8" s="1">
        <v>0.004480415924994734</v>
      </c>
      <c r="T8" s="1">
        <v>0.0006471304742716567</v>
      </c>
      <c r="U8" s="1">
        <v>0.011320215450297374</v>
      </c>
      <c r="V8" s="1">
        <v>1.054493968181176E-05</v>
      </c>
      <c r="W8" s="1">
        <v>2.0502448702630977E-05</v>
      </c>
      <c r="X8" s="1">
        <v>2.0136633698089457E-05</v>
      </c>
      <c r="Y8" s="1">
        <v>0.00048245651638053943</v>
      </c>
      <c r="Z8" s="1">
        <v>0.0008854232270165297</v>
      </c>
      <c r="AA8" s="1">
        <v>0.001097476997231007</v>
      </c>
      <c r="AB8" s="1">
        <v>0.003945040909169064</v>
      </c>
      <c r="AC8" s="1">
        <v>0.13329981265276827</v>
      </c>
      <c r="AD8" s="1">
        <v>0.001687951135269136</v>
      </c>
      <c r="AE8" s="1">
        <v>0.0031326404087292986</v>
      </c>
      <c r="AF8" s="1">
        <v>0.006990918046615851</v>
      </c>
      <c r="AG8" s="1">
        <v>0.057845738896362055</v>
      </c>
      <c r="AH8" s="1">
        <v>0.016730358050845294</v>
      </c>
      <c r="AI8" s="1">
        <v>0.024039092516172013</v>
      </c>
    </row>
    <row r="9" spans="1:35" ht="21" customHeight="1">
      <c r="A9" s="3">
        <v>7</v>
      </c>
      <c r="B9" s="1" t="s">
        <v>10</v>
      </c>
      <c r="C9" s="1">
        <v>0.02717987410440536</v>
      </c>
      <c r="D9" s="1">
        <v>0.08364658434375473</v>
      </c>
      <c r="E9" s="1">
        <v>0.0030850473142560787</v>
      </c>
      <c r="F9" s="1">
        <v>0.016495318948672216</v>
      </c>
      <c r="G9" s="1">
        <v>0.0053065762466102525</v>
      </c>
      <c r="H9" s="1">
        <v>0.0027620053224011168</v>
      </c>
      <c r="I9" s="1">
        <v>0.2243669858416652</v>
      </c>
      <c r="J9" s="1">
        <v>0.019023518463637264</v>
      </c>
      <c r="K9" s="1">
        <v>0.024520191766857914</v>
      </c>
      <c r="L9" s="1">
        <v>0.007654138971053964</v>
      </c>
      <c r="M9" s="1">
        <v>0.00487451818544814</v>
      </c>
      <c r="N9" s="1">
        <v>0.004995800599485298</v>
      </c>
      <c r="O9" s="1">
        <v>0.001618616560996587</v>
      </c>
      <c r="P9" s="1">
        <v>0.0020548876624953065</v>
      </c>
      <c r="Q9" s="1">
        <v>0.0038955337032260187</v>
      </c>
      <c r="R9" s="1">
        <v>0.00655671266209631</v>
      </c>
      <c r="S9" s="1">
        <v>0.01947558726674724</v>
      </c>
      <c r="T9" s="1">
        <v>0.030161155386773844</v>
      </c>
      <c r="U9" s="1">
        <v>0.008951770683313919</v>
      </c>
      <c r="V9" s="1">
        <v>0.01002016179106039</v>
      </c>
      <c r="W9" s="1">
        <v>0.001669188090784693</v>
      </c>
      <c r="X9" s="1">
        <v>0.000855294740254668</v>
      </c>
      <c r="Y9" s="1">
        <v>0.055631775345273665</v>
      </c>
      <c r="Z9" s="1">
        <v>0.002608349593751689</v>
      </c>
      <c r="AA9" s="1">
        <v>0.011763679146925686</v>
      </c>
      <c r="AB9" s="1">
        <v>0.005962900914616564</v>
      </c>
      <c r="AC9" s="1">
        <v>0.004956414603885168</v>
      </c>
      <c r="AD9" s="1">
        <v>0.005564900714719681</v>
      </c>
      <c r="AE9" s="1">
        <v>0.003182710930024697</v>
      </c>
      <c r="AF9" s="1">
        <v>0.006941015604526947</v>
      </c>
      <c r="AG9" s="1">
        <v>1.999999113841384E-08</v>
      </c>
      <c r="AH9" s="1">
        <v>0.015654980571174936</v>
      </c>
      <c r="AI9" s="1">
        <v>0.009936530472625792</v>
      </c>
    </row>
    <row r="10" spans="1:35" ht="21" customHeight="1">
      <c r="A10" s="3">
        <v>8</v>
      </c>
      <c r="B10" s="1" t="s">
        <v>11</v>
      </c>
      <c r="C10" s="1">
        <v>0.001143837583013529</v>
      </c>
      <c r="D10" s="1">
        <v>1.656607226566452E-05</v>
      </c>
      <c r="E10" s="1">
        <v>0.0014063676032782387</v>
      </c>
      <c r="F10" s="1">
        <v>0.0008022543857282318</v>
      </c>
      <c r="G10" s="1">
        <v>0.014248767323588181</v>
      </c>
      <c r="H10" s="1">
        <v>0.005081058482399444</v>
      </c>
      <c r="I10" s="1">
        <v>0.01576725380172706</v>
      </c>
      <c r="J10" s="1">
        <v>0.10082212766224184</v>
      </c>
      <c r="K10" s="1">
        <v>0.0099927329989634</v>
      </c>
      <c r="L10" s="1">
        <v>0.0037466114836464445</v>
      </c>
      <c r="M10" s="1">
        <v>0.0033165955941640477</v>
      </c>
      <c r="N10" s="1">
        <v>0.00553948426833972</v>
      </c>
      <c r="O10" s="1">
        <v>0.019004348906306326</v>
      </c>
      <c r="P10" s="1">
        <v>0.0016205793221935958</v>
      </c>
      <c r="Q10" s="1">
        <v>0.0065485768420992605</v>
      </c>
      <c r="R10" s="1">
        <v>0.003032182413425481</v>
      </c>
      <c r="S10" s="1">
        <v>0.06452506538535249</v>
      </c>
      <c r="T10" s="1">
        <v>6.072833649215134E-05</v>
      </c>
      <c r="U10" s="1">
        <v>0.0021451832430949462</v>
      </c>
      <c r="V10" s="1">
        <v>0.0003843055986620578</v>
      </c>
      <c r="W10" s="1">
        <v>1.6977684176982362E-05</v>
      </c>
      <c r="X10" s="1">
        <v>4.176825562259631E-05</v>
      </c>
      <c r="Y10" s="1">
        <v>0.00011165797484759697</v>
      </c>
      <c r="Z10" s="1">
        <v>5.055098570239402E-08</v>
      </c>
      <c r="AA10" s="1">
        <v>0.0002740680211155015</v>
      </c>
      <c r="AB10" s="1">
        <v>0.0013760227454986446</v>
      </c>
      <c r="AC10" s="1">
        <v>0.0012199918895128333</v>
      </c>
      <c r="AD10" s="1">
        <v>0.0010016342044122128</v>
      </c>
      <c r="AE10" s="1">
        <v>0.0009171156709154344</v>
      </c>
      <c r="AF10" s="1">
        <v>0.002874177582854124</v>
      </c>
      <c r="AG10" s="1">
        <v>0.0029096815587477923</v>
      </c>
      <c r="AH10" s="1">
        <v>0.0069396114825893505</v>
      </c>
      <c r="AI10" s="1">
        <v>0.010283298977755229</v>
      </c>
    </row>
    <row r="11" spans="1:35" ht="21" customHeight="1">
      <c r="A11" s="3">
        <v>9</v>
      </c>
      <c r="B11" s="1" t="s">
        <v>12</v>
      </c>
      <c r="C11" s="1">
        <v>8.836828368274395E-05</v>
      </c>
      <c r="D11" s="1">
        <v>0.000711786876306145</v>
      </c>
      <c r="E11" s="1">
        <v>2.673587859890252E-08</v>
      </c>
      <c r="F11" s="1">
        <v>9.711748550981354E-05</v>
      </c>
      <c r="G11" s="1">
        <v>0.041994917164863026</v>
      </c>
      <c r="H11" s="1">
        <v>1.745845044116065E-05</v>
      </c>
      <c r="I11" s="1">
        <v>4.720353063531615E-08</v>
      </c>
      <c r="J11" s="1">
        <v>0.006469623542875191</v>
      </c>
      <c r="K11" s="1">
        <v>0.2421336550276749</v>
      </c>
      <c r="L11" s="1">
        <v>0.0012242791240068907</v>
      </c>
      <c r="M11" s="1">
        <v>0.15498405117895048</v>
      </c>
      <c r="N11" s="1">
        <v>0.06700871168123661</v>
      </c>
      <c r="O11" s="1">
        <v>0.0065675066354810895</v>
      </c>
      <c r="P11" s="1">
        <v>0.09465988733265218</v>
      </c>
      <c r="Q11" s="1">
        <v>0.012077207514779696</v>
      </c>
      <c r="R11" s="1">
        <v>0.004400219151677084</v>
      </c>
      <c r="S11" s="1">
        <v>0.017325594628891036</v>
      </c>
      <c r="T11" s="1">
        <v>3.1310676945645196E-08</v>
      </c>
      <c r="U11" s="1">
        <v>0.00020761453118722407</v>
      </c>
      <c r="V11" s="1">
        <v>2.0286671563496112E-08</v>
      </c>
      <c r="W11" s="1">
        <v>2.2254256369875837E-08</v>
      </c>
      <c r="X11" s="1">
        <v>9.312499100373033E-09</v>
      </c>
      <c r="Y11" s="1">
        <v>0.00033685667989368645</v>
      </c>
      <c r="Z11" s="1">
        <v>3.035443100032165E-08</v>
      </c>
      <c r="AA11" s="1">
        <v>2.994305513667431E-05</v>
      </c>
      <c r="AB11" s="1">
        <v>1.4586979850922518E-08</v>
      </c>
      <c r="AC11" s="1">
        <v>7.761044808611591E-06</v>
      </c>
      <c r="AD11" s="1">
        <v>4.099797522610999E-06</v>
      </c>
      <c r="AE11" s="1">
        <v>9.430602223457243E-05</v>
      </c>
      <c r="AF11" s="1">
        <v>3.246205467720265E-05</v>
      </c>
      <c r="AG11" s="1">
        <v>1.47166218508566E-05</v>
      </c>
      <c r="AH11" s="1">
        <v>0.005622531104003978</v>
      </c>
      <c r="AI11" s="1">
        <v>0.010660941509646853</v>
      </c>
    </row>
    <row r="12" spans="1:35" ht="21" customHeight="1">
      <c r="A12" s="3">
        <v>10</v>
      </c>
      <c r="B12" s="1" t="s">
        <v>13</v>
      </c>
      <c r="C12" s="1">
        <v>1.5316006237385286E-08</v>
      </c>
      <c r="D12" s="1">
        <v>1.0540922863208923E-05</v>
      </c>
      <c r="E12" s="1">
        <v>0.0008855560623300396</v>
      </c>
      <c r="F12" s="1">
        <v>8.213443686299485E-05</v>
      </c>
      <c r="G12" s="1">
        <v>0.007148541952817475</v>
      </c>
      <c r="H12" s="1">
        <v>0.0009182989794635888</v>
      </c>
      <c r="I12" s="1">
        <v>1.6235855282492594E-07</v>
      </c>
      <c r="J12" s="1">
        <v>0.005359478062532197</v>
      </c>
      <c r="K12" s="1">
        <v>0.004177190307684575</v>
      </c>
      <c r="L12" s="1">
        <v>0.3309509118169651</v>
      </c>
      <c r="M12" s="1">
        <v>0.04829764445905243</v>
      </c>
      <c r="N12" s="1">
        <v>0.012504042008448535</v>
      </c>
      <c r="O12" s="1">
        <v>0.022281855839396174</v>
      </c>
      <c r="P12" s="1">
        <v>0.013813055002438087</v>
      </c>
      <c r="Q12" s="1">
        <v>0.023219167415185638</v>
      </c>
      <c r="R12" s="1">
        <v>0.012320857774366653</v>
      </c>
      <c r="S12" s="1">
        <v>0.007907773332893938</v>
      </c>
      <c r="T12" s="1">
        <v>0.0005553085110001802</v>
      </c>
      <c r="U12" s="1">
        <v>0.00015949987168182607</v>
      </c>
      <c r="V12" s="1">
        <v>1.0288237305677676E-05</v>
      </c>
      <c r="W12" s="1">
        <v>1.2718274074970448E-08</v>
      </c>
      <c r="X12" s="1">
        <v>5.322079242413289E-09</v>
      </c>
      <c r="Y12" s="1">
        <v>7.280045509076899E-06</v>
      </c>
      <c r="Z12" s="1">
        <v>1.7347511704522702E-08</v>
      </c>
      <c r="AA12" s="1">
        <v>0.0002132850128947268</v>
      </c>
      <c r="AB12" s="1">
        <v>8.336437065640722E-09</v>
      </c>
      <c r="AC12" s="1">
        <v>0.001050268332511542</v>
      </c>
      <c r="AD12" s="1">
        <v>0.00011310348363916687</v>
      </c>
      <c r="AE12" s="1">
        <v>0.00012181587033010303</v>
      </c>
      <c r="AF12" s="1">
        <v>0.000380193470079959</v>
      </c>
      <c r="AG12" s="1">
        <v>0.0005282116938472798</v>
      </c>
      <c r="AH12" s="1">
        <v>0.0030840428200618335</v>
      </c>
      <c r="AI12" s="1">
        <v>0.005770348398811094</v>
      </c>
    </row>
    <row r="13" spans="1:35" ht="21" customHeight="1">
      <c r="A13" s="3">
        <v>11</v>
      </c>
      <c r="B13" s="1" t="s">
        <v>14</v>
      </c>
      <c r="C13" s="1">
        <v>0.0012985930836700366</v>
      </c>
      <c r="D13" s="1">
        <v>0.02781989155503128</v>
      </c>
      <c r="E13" s="1">
        <v>0.0046901379586821</v>
      </c>
      <c r="F13" s="1">
        <v>0.00047127306397208915</v>
      </c>
      <c r="G13" s="1">
        <v>0.04064622204812701</v>
      </c>
      <c r="H13" s="1">
        <v>0.006257262491771641</v>
      </c>
      <c r="I13" s="1">
        <v>0.004545492032323877</v>
      </c>
      <c r="J13" s="1">
        <v>0.008071986503786531</v>
      </c>
      <c r="K13" s="1">
        <v>0.006176033976859092</v>
      </c>
      <c r="L13" s="1">
        <v>0.0026728698928706013</v>
      </c>
      <c r="M13" s="1">
        <v>0.052108539688623716</v>
      </c>
      <c r="N13" s="1">
        <v>0.03182438464181111</v>
      </c>
      <c r="O13" s="1">
        <v>0.013405642382403108</v>
      </c>
      <c r="P13" s="1">
        <v>0.014179169351755097</v>
      </c>
      <c r="Q13" s="1">
        <v>0.01421903116603906</v>
      </c>
      <c r="R13" s="1">
        <v>0.007939568451177013</v>
      </c>
      <c r="S13" s="1">
        <v>0.08285481910723339</v>
      </c>
      <c r="T13" s="1">
        <v>0.0006774675609577963</v>
      </c>
      <c r="U13" s="1">
        <v>0.000629232667713071</v>
      </c>
      <c r="V13" s="1">
        <v>0.002625533575470435</v>
      </c>
      <c r="W13" s="1">
        <v>6.131471866830689E-05</v>
      </c>
      <c r="X13" s="1">
        <v>0.00021677437974551187</v>
      </c>
      <c r="Y13" s="1">
        <v>0.0018024485571121725</v>
      </c>
      <c r="Z13" s="1">
        <v>0.00020454292208364308</v>
      </c>
      <c r="AA13" s="1">
        <v>0.006888554206643847</v>
      </c>
      <c r="AB13" s="1">
        <v>7.955819791014591E-05</v>
      </c>
      <c r="AC13" s="1">
        <v>0.00030570685366679593</v>
      </c>
      <c r="AD13" s="1">
        <v>0.001546796761229615</v>
      </c>
      <c r="AE13" s="1">
        <v>0.0011598775199020866</v>
      </c>
      <c r="AF13" s="1">
        <v>0.001855773910177461</v>
      </c>
      <c r="AG13" s="1">
        <v>0.00016885273752721979</v>
      </c>
      <c r="AH13" s="1">
        <v>0.005287571125187617</v>
      </c>
      <c r="AI13" s="1">
        <v>0.014269007085871194</v>
      </c>
    </row>
    <row r="14" spans="1:35" ht="21" customHeight="1">
      <c r="A14" s="3">
        <v>12</v>
      </c>
      <c r="B14" s="1" t="s">
        <v>15</v>
      </c>
      <c r="C14" s="1">
        <v>1.8124017394174464E-05</v>
      </c>
      <c r="D14" s="1">
        <v>0.006459396173901075</v>
      </c>
      <c r="E14" s="1">
        <v>1.2718526478158504E-06</v>
      </c>
      <c r="F14" s="1">
        <v>7.352764757638065E-08</v>
      </c>
      <c r="G14" s="1">
        <v>0.0013360443562931328</v>
      </c>
      <c r="H14" s="1">
        <v>8.356216497138846E-06</v>
      </c>
      <c r="I14" s="1">
        <v>0.00016183858011353396</v>
      </c>
      <c r="J14" s="1">
        <v>0.002025727304995018</v>
      </c>
      <c r="K14" s="1">
        <v>0.0028543863080409083</v>
      </c>
      <c r="L14" s="1">
        <v>0.000969957402620783</v>
      </c>
      <c r="M14" s="1">
        <v>0.001983955826691816</v>
      </c>
      <c r="N14" s="1">
        <v>0.21035313789229232</v>
      </c>
      <c r="O14" s="1">
        <v>0.004382748159526691</v>
      </c>
      <c r="P14" s="1">
        <v>0.009626609444208187</v>
      </c>
      <c r="Q14" s="1">
        <v>0.008836282220008132</v>
      </c>
      <c r="R14" s="1">
        <v>0.0025746577863567616</v>
      </c>
      <c r="S14" s="1">
        <v>0.006076635071647611</v>
      </c>
      <c r="T14" s="1">
        <v>1.2456249991029962E-06</v>
      </c>
      <c r="U14" s="1">
        <v>0.0022673193198297767</v>
      </c>
      <c r="V14" s="1">
        <v>6.266431923782748E-06</v>
      </c>
      <c r="W14" s="1">
        <v>3.814945409169595E-08</v>
      </c>
      <c r="X14" s="1">
        <v>1.5963991382320127E-08</v>
      </c>
      <c r="Y14" s="1">
        <v>8.598990195664137E-05</v>
      </c>
      <c r="Z14" s="1">
        <v>9.473652856726412E-06</v>
      </c>
      <c r="AA14" s="1">
        <v>0.0004677155753067282</v>
      </c>
      <c r="AB14" s="1">
        <v>2.500579255088212E-08</v>
      </c>
      <c r="AC14" s="1">
        <v>4.758551858278739E-08</v>
      </c>
      <c r="AD14" s="1">
        <v>3.8302326139885234E-08</v>
      </c>
      <c r="AE14" s="1">
        <v>0.019927275799854163</v>
      </c>
      <c r="AF14" s="1">
        <v>0.0002076967994586565</v>
      </c>
      <c r="AG14" s="1">
        <v>0.04117123363267466</v>
      </c>
      <c r="AH14" s="1">
        <v>8.33400360685476E-08</v>
      </c>
      <c r="AI14" s="1">
        <v>0.016075812995612792</v>
      </c>
    </row>
    <row r="15" spans="1:35" ht="21" customHeight="1">
      <c r="A15" s="3">
        <v>13</v>
      </c>
      <c r="B15" s="1" t="s">
        <v>16</v>
      </c>
      <c r="C15" s="1">
        <v>0.0005356263097889249</v>
      </c>
      <c r="D15" s="1">
        <v>0.00026356502058185523</v>
      </c>
      <c r="E15" s="1">
        <v>2.6073930306789347E-05</v>
      </c>
      <c r="F15" s="1">
        <v>2.235000779550335E-05</v>
      </c>
      <c r="G15" s="1">
        <v>0.00037936956192271973</v>
      </c>
      <c r="H15" s="1">
        <v>5.006527087289822E-05</v>
      </c>
      <c r="I15" s="1">
        <v>1.0692953125036622E-05</v>
      </c>
      <c r="J15" s="1">
        <v>2.5354294296203067E-05</v>
      </c>
      <c r="K15" s="1">
        <v>1.909391190027341E-05</v>
      </c>
      <c r="L15" s="1">
        <v>0.00024404177617192306</v>
      </c>
      <c r="M15" s="1">
        <v>0.00501726466448606</v>
      </c>
      <c r="N15" s="1">
        <v>0.036395575676498884</v>
      </c>
      <c r="O15" s="1">
        <v>0.4260113636139521</v>
      </c>
      <c r="P15" s="1">
        <v>0.019667529574812465</v>
      </c>
      <c r="Q15" s="1">
        <v>0.0831124243013972</v>
      </c>
      <c r="R15" s="1">
        <v>0.00604218266464901</v>
      </c>
      <c r="S15" s="1">
        <v>0.010251134330225498</v>
      </c>
      <c r="T15" s="1">
        <v>3.39544016329836E-05</v>
      </c>
      <c r="U15" s="1">
        <v>8.344017492032021E-05</v>
      </c>
      <c r="V15" s="1">
        <v>0.00036964944390796973</v>
      </c>
      <c r="W15" s="1">
        <v>0.00013088964501006275</v>
      </c>
      <c r="X15" s="1">
        <v>2.1177198730907474E-05</v>
      </c>
      <c r="Y15" s="1">
        <v>0.00017786759309950444</v>
      </c>
      <c r="Z15" s="1">
        <v>0.001519289683437701</v>
      </c>
      <c r="AA15" s="1">
        <v>0.013331342080942804</v>
      </c>
      <c r="AB15" s="1">
        <v>0.0014866393732959943</v>
      </c>
      <c r="AC15" s="1">
        <v>7.83593767647562E-05</v>
      </c>
      <c r="AD15" s="1">
        <v>6.80871145436628E-05</v>
      </c>
      <c r="AE15" s="1">
        <v>0.014689440580568768</v>
      </c>
      <c r="AF15" s="1">
        <v>0.0004324278501554261</v>
      </c>
      <c r="AG15" s="1">
        <v>0.010284714703763265</v>
      </c>
      <c r="AH15" s="1">
        <v>0.0028191655709233618</v>
      </c>
      <c r="AI15" s="1">
        <v>0.04016196863839892</v>
      </c>
    </row>
    <row r="16" spans="1:35" ht="21" customHeight="1">
      <c r="A16" s="3">
        <v>14</v>
      </c>
      <c r="B16" s="1" t="s">
        <v>17</v>
      </c>
      <c r="C16" s="1">
        <v>0.01162634260316644</v>
      </c>
      <c r="D16" s="1">
        <v>0.00011889987101433854</v>
      </c>
      <c r="E16" s="1">
        <v>1.3765848776427061E-06</v>
      </c>
      <c r="F16" s="1">
        <v>2.6760787263106428E-06</v>
      </c>
      <c r="G16" s="1">
        <v>2.733972334264812E-06</v>
      </c>
      <c r="H16" s="1">
        <v>8.667053054216383E-07</v>
      </c>
      <c r="I16" s="1">
        <v>3.460402033477619E-08</v>
      </c>
      <c r="J16" s="1">
        <v>7.027244573665644E-06</v>
      </c>
      <c r="K16" s="1">
        <v>1.1544127791752537E-06</v>
      </c>
      <c r="L16" s="1">
        <v>1.4952310162884136E-06</v>
      </c>
      <c r="M16" s="1">
        <v>2.1294938568741743E-06</v>
      </c>
      <c r="N16" s="1">
        <v>1.4310122719804282E-06</v>
      </c>
      <c r="O16" s="1">
        <v>6.479568393077539E-07</v>
      </c>
      <c r="P16" s="1">
        <v>0.3133816026909719</v>
      </c>
      <c r="Q16" s="1">
        <v>1.9595708715684956E-06</v>
      </c>
      <c r="R16" s="1">
        <v>2.7989440346058398E-06</v>
      </c>
      <c r="S16" s="1">
        <v>7.071307463202195E-06</v>
      </c>
      <c r="T16" s="1">
        <v>1.6407875387770436E-06</v>
      </c>
      <c r="U16" s="1">
        <v>3.5105275639324704E-06</v>
      </c>
      <c r="V16" s="1">
        <v>7.28530179003731E-06</v>
      </c>
      <c r="W16" s="1">
        <v>1.4108158860193512E-06</v>
      </c>
      <c r="X16" s="1">
        <v>4.0557067088483443E-07</v>
      </c>
      <c r="Y16" s="1">
        <v>0.006406852260297668</v>
      </c>
      <c r="Z16" s="1">
        <v>1.2297857820241908E-06</v>
      </c>
      <c r="AA16" s="1">
        <v>0.0346563206210019</v>
      </c>
      <c r="AB16" s="1">
        <v>1.4051367746180307E-05</v>
      </c>
      <c r="AC16" s="1">
        <v>1.7243252660451197E-06</v>
      </c>
      <c r="AD16" s="1">
        <v>2.60530206934683E-06</v>
      </c>
      <c r="AE16" s="1">
        <v>0.029561006874243834</v>
      </c>
      <c r="AF16" s="1">
        <v>7.694904732143904E-05</v>
      </c>
      <c r="AG16" s="1">
        <v>4.999924665950703E-08</v>
      </c>
      <c r="AH16" s="1">
        <v>7.149726197484154E-06</v>
      </c>
      <c r="AI16" s="1">
        <v>0.005432945823740251</v>
      </c>
    </row>
    <row r="17" spans="1:35" ht="21" customHeight="1">
      <c r="A17" s="3">
        <v>15</v>
      </c>
      <c r="B17" s="1" t="s">
        <v>18</v>
      </c>
      <c r="C17" s="1">
        <v>8.765148553416729E-05</v>
      </c>
      <c r="D17" s="1">
        <v>2.1710486433320758E-05</v>
      </c>
      <c r="E17" s="1">
        <v>7.437780512031673E-06</v>
      </c>
      <c r="F17" s="1">
        <v>2.3125780361081672E-05</v>
      </c>
      <c r="G17" s="1">
        <v>2.558020837696258E-05</v>
      </c>
      <c r="H17" s="1">
        <v>2.030537949509886E-05</v>
      </c>
      <c r="I17" s="1">
        <v>2.137990546956941E-06</v>
      </c>
      <c r="J17" s="1">
        <v>7.187868188453068E-05</v>
      </c>
      <c r="K17" s="1">
        <v>4.551075484256817E-06</v>
      </c>
      <c r="L17" s="1">
        <v>5.225626557504526E-06</v>
      </c>
      <c r="M17" s="1">
        <v>2.8094347767923514E-05</v>
      </c>
      <c r="N17" s="1">
        <v>0.00591049086679943</v>
      </c>
      <c r="O17" s="1">
        <v>0.0005993759233085945</v>
      </c>
      <c r="P17" s="1">
        <v>0.00043185828442447147</v>
      </c>
      <c r="Q17" s="1">
        <v>0.10618704767907097</v>
      </c>
      <c r="R17" s="1">
        <v>0.0004681620921143367</v>
      </c>
      <c r="S17" s="1">
        <v>7.76116767550627E-05</v>
      </c>
      <c r="T17" s="1">
        <v>1.3418578488504033E-08</v>
      </c>
      <c r="U17" s="1">
        <v>7.664279371249168E-05</v>
      </c>
      <c r="V17" s="1">
        <v>0.001281768871821097</v>
      </c>
      <c r="W17" s="1">
        <v>5.074625441406704E-05</v>
      </c>
      <c r="X17" s="1">
        <v>3.0955150902978534E-06</v>
      </c>
      <c r="Y17" s="1">
        <v>2.492929109544506E-05</v>
      </c>
      <c r="Z17" s="1">
        <v>3.384770778642449E-05</v>
      </c>
      <c r="AA17" s="1">
        <v>0.0009689769442224427</v>
      </c>
      <c r="AB17" s="1">
        <v>1.1260370284806017E-05</v>
      </c>
      <c r="AC17" s="1">
        <v>0.006345788591811652</v>
      </c>
      <c r="AD17" s="1">
        <v>1.5082271549097463E-05</v>
      </c>
      <c r="AE17" s="1">
        <v>0.0005526438048962836</v>
      </c>
      <c r="AF17" s="1">
        <v>0.0002689292378324198</v>
      </c>
      <c r="AG17" s="1">
        <v>2.99994340668917E-08</v>
      </c>
      <c r="AH17" s="1">
        <v>2.0834951639343E-08</v>
      </c>
      <c r="AI17" s="1">
        <v>0.0011061133178267956</v>
      </c>
    </row>
    <row r="18" spans="1:35" ht="21" customHeight="1">
      <c r="A18" s="3">
        <v>16</v>
      </c>
      <c r="B18" s="1" t="s">
        <v>19</v>
      </c>
      <c r="C18" s="1">
        <v>0.012199635556947905</v>
      </c>
      <c r="D18" s="1">
        <v>0.0176259612734421</v>
      </c>
      <c r="E18" s="1">
        <v>0.013038052664577401</v>
      </c>
      <c r="F18" s="1">
        <v>0.01643854555471401</v>
      </c>
      <c r="G18" s="1">
        <v>0.03192433329028808</v>
      </c>
      <c r="H18" s="1">
        <v>0.018493443501736154</v>
      </c>
      <c r="I18" s="1">
        <v>0.013657224829231646</v>
      </c>
      <c r="J18" s="1">
        <v>0.02273438762552578</v>
      </c>
      <c r="K18" s="1">
        <v>0.028947216275511625</v>
      </c>
      <c r="L18" s="1">
        <v>0.0549223183474057</v>
      </c>
      <c r="M18" s="1">
        <v>0.01075559100808838</v>
      </c>
      <c r="N18" s="1">
        <v>0.026783499974997207</v>
      </c>
      <c r="O18" s="1">
        <v>0.029222822616883255</v>
      </c>
      <c r="P18" s="1">
        <v>0.023496433248848755</v>
      </c>
      <c r="Q18" s="1">
        <v>0.036982380945362624</v>
      </c>
      <c r="R18" s="1">
        <v>0.15567215613076166</v>
      </c>
      <c r="S18" s="1">
        <v>0.02117005833803542</v>
      </c>
      <c r="T18" s="1">
        <v>0.014615391891512524</v>
      </c>
      <c r="U18" s="1">
        <v>0.030320432758017636</v>
      </c>
      <c r="V18" s="1">
        <v>0.013185681256738413</v>
      </c>
      <c r="W18" s="1">
        <v>0.022880738207971398</v>
      </c>
      <c r="X18" s="1">
        <v>0.0005213180970725477</v>
      </c>
      <c r="Y18" s="1">
        <v>0.006414762991966319</v>
      </c>
      <c r="Z18" s="1">
        <v>0.011244232231098335</v>
      </c>
      <c r="AA18" s="1">
        <v>0.041282951612599296</v>
      </c>
      <c r="AB18" s="1">
        <v>0.032548415149313385</v>
      </c>
      <c r="AC18" s="1">
        <v>0.00964750479781111</v>
      </c>
      <c r="AD18" s="1">
        <v>0.06530049367938617</v>
      </c>
      <c r="AE18" s="1">
        <v>0.03254707364565391</v>
      </c>
      <c r="AF18" s="1">
        <v>0.012039640180904601</v>
      </c>
      <c r="AG18" s="1">
        <v>0.1418773852445623</v>
      </c>
      <c r="AH18" s="1">
        <v>0.019408454616030964</v>
      </c>
      <c r="AI18" s="1">
        <v>0.02350327910546478</v>
      </c>
    </row>
    <row r="19" spans="1:35" ht="21" customHeight="1">
      <c r="A19" s="3">
        <v>17</v>
      </c>
      <c r="B19" s="1" t="s">
        <v>20</v>
      </c>
      <c r="C19" s="1">
        <v>0.004323198121203579</v>
      </c>
      <c r="D19" s="1">
        <v>0.007591464168191167</v>
      </c>
      <c r="E19" s="1">
        <v>0.0012339563427620072</v>
      </c>
      <c r="F19" s="1">
        <v>0.003846556353379105</v>
      </c>
      <c r="G19" s="1">
        <v>0.005171776300554304</v>
      </c>
      <c r="H19" s="1">
        <v>0.008690539066928531</v>
      </c>
      <c r="I19" s="1">
        <v>0.016980178704925804</v>
      </c>
      <c r="J19" s="1">
        <v>0.012289678474350852</v>
      </c>
      <c r="K19" s="1">
        <v>0.010975805695904766</v>
      </c>
      <c r="L19" s="1">
        <v>0.00643868775906403</v>
      </c>
      <c r="M19" s="1">
        <v>0.010147710024144269</v>
      </c>
      <c r="N19" s="1">
        <v>0.0043248237572186205</v>
      </c>
      <c r="O19" s="1">
        <v>0.0034729361135607535</v>
      </c>
      <c r="P19" s="1">
        <v>0.0024503991841622556</v>
      </c>
      <c r="Q19" s="1">
        <v>0.0033533749944414507</v>
      </c>
      <c r="R19" s="1">
        <v>0.0033539423437071126</v>
      </c>
      <c r="S19" s="1">
        <v>0.0028367116022324688</v>
      </c>
      <c r="T19" s="1">
        <v>0.05131572252770138</v>
      </c>
      <c r="U19" s="1">
        <v>0.03055408585599904</v>
      </c>
      <c r="V19" s="1">
        <v>0.005869532409249052</v>
      </c>
      <c r="W19" s="1">
        <v>0.0038628546640612667</v>
      </c>
      <c r="X19" s="1">
        <v>0.04161054274801093</v>
      </c>
      <c r="Y19" s="1">
        <v>0.008045582077822296</v>
      </c>
      <c r="Z19" s="1">
        <v>0.007191764223895244</v>
      </c>
      <c r="AA19" s="1">
        <v>0.02004182851801791</v>
      </c>
      <c r="AB19" s="1">
        <v>0.01454337484919576</v>
      </c>
      <c r="AC19" s="1">
        <v>0.005856836693349592</v>
      </c>
      <c r="AD19" s="1">
        <v>0.0018508700645579906</v>
      </c>
      <c r="AE19" s="1">
        <v>0.00273202443093826</v>
      </c>
      <c r="AF19" s="1">
        <v>0.006430075476605287</v>
      </c>
      <c r="AG19" s="1">
        <v>1.000000513218234E-08</v>
      </c>
      <c r="AH19" s="1">
        <v>2.0178849565748865E-05</v>
      </c>
      <c r="AI19" s="1">
        <v>0.009190918744628724</v>
      </c>
    </row>
    <row r="20" spans="1:35" ht="21" customHeight="1">
      <c r="A20" s="3">
        <v>18</v>
      </c>
      <c r="B20" s="1" t="s">
        <v>21</v>
      </c>
      <c r="C20" s="1">
        <v>0.005026341359618724</v>
      </c>
      <c r="D20" s="1">
        <v>0.02164254876438793</v>
      </c>
      <c r="E20" s="1">
        <v>0.007053212880829934</v>
      </c>
      <c r="F20" s="1">
        <v>0.029788828312516252</v>
      </c>
      <c r="G20" s="1">
        <v>0.025721642379245273</v>
      </c>
      <c r="H20" s="1">
        <v>0.028994595716945747</v>
      </c>
      <c r="I20" s="1">
        <v>0.03220945422868212</v>
      </c>
      <c r="J20" s="1">
        <v>0.017366418579157366</v>
      </c>
      <c r="K20" s="1">
        <v>0.05691497385507096</v>
      </c>
      <c r="L20" s="1">
        <v>0.026040357139511985</v>
      </c>
      <c r="M20" s="1">
        <v>0.02115247910754968</v>
      </c>
      <c r="N20" s="1">
        <v>0.011080534732760558</v>
      </c>
      <c r="O20" s="1">
        <v>0.012353192651205342</v>
      </c>
      <c r="P20" s="1">
        <v>0.009258111080661092</v>
      </c>
      <c r="Q20" s="1">
        <v>0.0080759083899536</v>
      </c>
      <c r="R20" s="1">
        <v>0.015583045445613695</v>
      </c>
      <c r="S20" s="1">
        <v>0.004854714377784281</v>
      </c>
      <c r="T20" s="1">
        <v>0.03754065537699467</v>
      </c>
      <c r="U20" s="1">
        <v>0.047802041340516854</v>
      </c>
      <c r="V20" s="1">
        <v>0.01136846816510337</v>
      </c>
      <c r="W20" s="1">
        <v>0.0035915216643811055</v>
      </c>
      <c r="X20" s="1">
        <v>0.002573497971024059</v>
      </c>
      <c r="Y20" s="1">
        <v>0.0123315804020961</v>
      </c>
      <c r="Z20" s="1">
        <v>0.008767068480114033</v>
      </c>
      <c r="AA20" s="1">
        <v>0.016641392651603675</v>
      </c>
      <c r="AB20" s="1">
        <v>0.023432897536106667</v>
      </c>
      <c r="AC20" s="1">
        <v>0.017184677536608097</v>
      </c>
      <c r="AD20" s="1">
        <v>0.004038924436277364</v>
      </c>
      <c r="AE20" s="1">
        <v>0.0051289289741909055</v>
      </c>
      <c r="AF20" s="1">
        <v>0.025088167975715867</v>
      </c>
      <c r="AG20" s="1">
        <v>2.999998234805169E-08</v>
      </c>
      <c r="AH20" s="1">
        <v>0.0041485306798033595</v>
      </c>
      <c r="AI20" s="1">
        <v>0.013607681559159928</v>
      </c>
    </row>
    <row r="21" spans="1:35" ht="21" customHeight="1">
      <c r="A21" s="3">
        <v>19</v>
      </c>
      <c r="B21" s="1" t="s">
        <v>22</v>
      </c>
      <c r="C21" s="1">
        <v>0.0004260664629058006</v>
      </c>
      <c r="D21" s="1">
        <v>0.00521797325142379</v>
      </c>
      <c r="E21" s="1">
        <v>0.0022005792576110894</v>
      </c>
      <c r="F21" s="1">
        <v>0.009748126555947022</v>
      </c>
      <c r="G21" s="1">
        <v>0.002199454276310883</v>
      </c>
      <c r="H21" s="1">
        <v>0.009757167096880211</v>
      </c>
      <c r="I21" s="1">
        <v>0.0014973353156324638</v>
      </c>
      <c r="J21" s="1">
        <v>0.005516142736140138</v>
      </c>
      <c r="K21" s="1">
        <v>0.002959283726362092</v>
      </c>
      <c r="L21" s="1">
        <v>0.0017518268346799</v>
      </c>
      <c r="M21" s="1">
        <v>0.001644417137339877</v>
      </c>
      <c r="N21" s="1">
        <v>0.002853053217148433</v>
      </c>
      <c r="O21" s="1">
        <v>0.0019774730966946623</v>
      </c>
      <c r="P21" s="1">
        <v>0.0010269839946200183</v>
      </c>
      <c r="Q21" s="1">
        <v>0.002529050410992584</v>
      </c>
      <c r="R21" s="1">
        <v>0.0019339738137559958</v>
      </c>
      <c r="S21" s="1">
        <v>0.0024214830139185116</v>
      </c>
      <c r="T21" s="1">
        <v>0.006034028955249989</v>
      </c>
      <c r="U21" s="1">
        <v>0.07652514347009294</v>
      </c>
      <c r="V21" s="1">
        <v>0.0030938709673498737</v>
      </c>
      <c r="W21" s="1">
        <v>0.002406202162731439</v>
      </c>
      <c r="X21" s="1">
        <v>0.00041026132250436776</v>
      </c>
      <c r="Y21" s="1">
        <v>0.004525777903458124</v>
      </c>
      <c r="Z21" s="1">
        <v>0.005246038053437657</v>
      </c>
      <c r="AA21" s="1">
        <v>0.02076528119062181</v>
      </c>
      <c r="AB21" s="1">
        <v>0.010479925610442635</v>
      </c>
      <c r="AC21" s="1">
        <v>0.009455374759687564</v>
      </c>
      <c r="AD21" s="1">
        <v>0.0028502338268530723</v>
      </c>
      <c r="AE21" s="1">
        <v>0.0009632187193000217</v>
      </c>
      <c r="AF21" s="1">
        <v>0.02323719557090471</v>
      </c>
      <c r="AG21" s="1">
        <v>1.9999998302095323E-08</v>
      </c>
      <c r="AH21" s="1">
        <v>0.01174598287933453</v>
      </c>
      <c r="AI21" s="1">
        <v>0.006391644246451611</v>
      </c>
    </row>
    <row r="22" spans="1:35" ht="21" customHeight="1">
      <c r="A22" s="3">
        <v>20</v>
      </c>
      <c r="B22" s="1" t="s">
        <v>23</v>
      </c>
      <c r="C22" s="1">
        <v>0.0445953914365697</v>
      </c>
      <c r="D22" s="1">
        <v>0.05102540602827358</v>
      </c>
      <c r="E22" s="1">
        <v>0.05405455003137076</v>
      </c>
      <c r="F22" s="1">
        <v>0.06149944664216622</v>
      </c>
      <c r="G22" s="1">
        <v>0.07783041533417984</v>
      </c>
      <c r="H22" s="1">
        <v>0.05287069888229429</v>
      </c>
      <c r="I22" s="1">
        <v>0.08422834111600938</v>
      </c>
      <c r="J22" s="1">
        <v>0.058338582113937484</v>
      </c>
      <c r="K22" s="1">
        <v>0.054208882892195796</v>
      </c>
      <c r="L22" s="1">
        <v>0.05472280287900983</v>
      </c>
      <c r="M22" s="1">
        <v>0.04929112430266905</v>
      </c>
      <c r="N22" s="1">
        <v>0.058204639923399984</v>
      </c>
      <c r="O22" s="1">
        <v>0.051333676571151</v>
      </c>
      <c r="P22" s="1">
        <v>0.05040591649797678</v>
      </c>
      <c r="Q22" s="1">
        <v>0.06003385119906906</v>
      </c>
      <c r="R22" s="1">
        <v>0.05317548375582906</v>
      </c>
      <c r="S22" s="1">
        <v>0.06390036483334334</v>
      </c>
      <c r="T22" s="1">
        <v>0.011733014132112843</v>
      </c>
      <c r="U22" s="1">
        <v>0.015023774290896902</v>
      </c>
      <c r="V22" s="1">
        <v>0.016852147129040956</v>
      </c>
      <c r="W22" s="1">
        <v>0.005514946576914525</v>
      </c>
      <c r="X22" s="1">
        <v>0.00094774897925895</v>
      </c>
      <c r="Y22" s="1">
        <v>0.018683545872704804</v>
      </c>
      <c r="Z22" s="1">
        <v>0.004903563302631179</v>
      </c>
      <c r="AA22" s="1">
        <v>0.01907357442698955</v>
      </c>
      <c r="AB22" s="1">
        <v>0.015289649845754148</v>
      </c>
      <c r="AC22" s="1">
        <v>0.05499388585185985</v>
      </c>
      <c r="AD22" s="1">
        <v>0.02769564947913825</v>
      </c>
      <c r="AE22" s="1">
        <v>0.024673676143492983</v>
      </c>
      <c r="AF22" s="1">
        <v>0.060778289558565284</v>
      </c>
      <c r="AG22" s="1">
        <v>0.255255079332367</v>
      </c>
      <c r="AH22" s="1">
        <v>0.0228402965583075</v>
      </c>
      <c r="AI22" s="1">
        <v>0.039349054762316656</v>
      </c>
    </row>
    <row r="23" spans="1:35" ht="21" customHeight="1">
      <c r="A23" s="3">
        <v>21</v>
      </c>
      <c r="B23" s="1" t="s">
        <v>24</v>
      </c>
      <c r="C23" s="1">
        <v>0.03591907018226288</v>
      </c>
      <c r="D23" s="1">
        <v>0.08293196637224605</v>
      </c>
      <c r="E23" s="1">
        <v>0.005994377912885571</v>
      </c>
      <c r="F23" s="1">
        <v>0.04093140160017847</v>
      </c>
      <c r="G23" s="1">
        <v>0.019342255382283534</v>
      </c>
      <c r="H23" s="1">
        <v>0.016196848408770927</v>
      </c>
      <c r="I23" s="1">
        <v>0.008017274910714939</v>
      </c>
      <c r="J23" s="1">
        <v>0.03475562676168789</v>
      </c>
      <c r="K23" s="1">
        <v>0.015523001763259096</v>
      </c>
      <c r="L23" s="1">
        <v>0.013045622950862597</v>
      </c>
      <c r="M23" s="1">
        <v>0.019339987328457285</v>
      </c>
      <c r="N23" s="1">
        <v>0.014859119313916785</v>
      </c>
      <c r="O23" s="1">
        <v>0.008687093570099348</v>
      </c>
      <c r="P23" s="1">
        <v>0.0062642096980922365</v>
      </c>
      <c r="Q23" s="1">
        <v>0.018806428255345724</v>
      </c>
      <c r="R23" s="1">
        <v>0.016578717936700422</v>
      </c>
      <c r="S23" s="1">
        <v>0.013452754909966797</v>
      </c>
      <c r="T23" s="1">
        <v>0.037763465877393876</v>
      </c>
      <c r="U23" s="1">
        <v>0.013073656314499634</v>
      </c>
      <c r="V23" s="1">
        <v>0.05042244942780326</v>
      </c>
      <c r="W23" s="1">
        <v>0.0737524047952243</v>
      </c>
      <c r="X23" s="1">
        <v>0.050791116964070925</v>
      </c>
      <c r="Y23" s="1">
        <v>0.03889255840960626</v>
      </c>
      <c r="Z23" s="1">
        <v>0.025198103398923213</v>
      </c>
      <c r="AA23" s="1">
        <v>0.0048800485924179</v>
      </c>
      <c r="AB23" s="1">
        <v>0.00716222075431068</v>
      </c>
      <c r="AC23" s="1">
        <v>0.013349196505891227</v>
      </c>
      <c r="AD23" s="1">
        <v>0.013899369197122315</v>
      </c>
      <c r="AE23" s="1">
        <v>0.04956992574850454</v>
      </c>
      <c r="AF23" s="1">
        <v>0.03051507718681194</v>
      </c>
      <c r="AG23" s="1">
        <v>2.000000194163124E-08</v>
      </c>
      <c r="AH23" s="1">
        <v>0.2289710176233056</v>
      </c>
      <c r="AI23" s="1">
        <v>0.02760252108630899</v>
      </c>
    </row>
    <row r="24" spans="1:35" ht="21" customHeight="1">
      <c r="A24" s="3">
        <v>22</v>
      </c>
      <c r="B24" s="1" t="s">
        <v>25</v>
      </c>
      <c r="C24" s="1">
        <v>0.0004776840849136719</v>
      </c>
      <c r="D24" s="1">
        <v>0.00877848444330938</v>
      </c>
      <c r="E24" s="1">
        <v>0.0011966636680305163</v>
      </c>
      <c r="F24" s="1">
        <v>0.004303666176872975</v>
      </c>
      <c r="G24" s="1">
        <v>0.004846245144047339</v>
      </c>
      <c r="H24" s="1">
        <v>0.005900382684196018</v>
      </c>
      <c r="I24" s="1">
        <v>0.004431469946804701</v>
      </c>
      <c r="J24" s="1">
        <v>0.0055004533548138074</v>
      </c>
      <c r="K24" s="1">
        <v>0.0045959899261248174</v>
      </c>
      <c r="L24" s="1">
        <v>0.0032260105173751033</v>
      </c>
      <c r="M24" s="1">
        <v>0.005718383326481916</v>
      </c>
      <c r="N24" s="1">
        <v>0.0033566020007968606</v>
      </c>
      <c r="O24" s="1">
        <v>0.0018684983085927452</v>
      </c>
      <c r="P24" s="1">
        <v>0.0010886072765558458</v>
      </c>
      <c r="Q24" s="1">
        <v>0.0029241648439180647</v>
      </c>
      <c r="R24" s="1">
        <v>0.004370182782056653</v>
      </c>
      <c r="S24" s="1">
        <v>0.003356772170084461</v>
      </c>
      <c r="T24" s="1">
        <v>0.009454114106017276</v>
      </c>
      <c r="U24" s="1">
        <v>0.003117190502521818</v>
      </c>
      <c r="V24" s="1">
        <v>0.028328018514848397</v>
      </c>
      <c r="W24" s="1">
        <v>0.015895395208821838</v>
      </c>
      <c r="X24" s="1">
        <v>0.005730288129860952</v>
      </c>
      <c r="Y24" s="1">
        <v>0.011773833527022942</v>
      </c>
      <c r="Z24" s="1">
        <v>0.01735411251121581</v>
      </c>
      <c r="AA24" s="1">
        <v>0.001826192002248286</v>
      </c>
      <c r="AB24" s="1">
        <v>0.009251479945235156</v>
      </c>
      <c r="AC24" s="1">
        <v>0.006984765938983394</v>
      </c>
      <c r="AD24" s="1">
        <v>0.02302741136197277</v>
      </c>
      <c r="AE24" s="1">
        <v>0.009047759125918391</v>
      </c>
      <c r="AF24" s="1">
        <v>0.017186288323915264</v>
      </c>
      <c r="AG24" s="1">
        <v>1.0000004297606215E-08</v>
      </c>
      <c r="AH24" s="1">
        <v>0.011756196775861585</v>
      </c>
      <c r="AI24" s="1">
        <v>0.00880377738157827</v>
      </c>
    </row>
    <row r="25" spans="1:35" ht="21" customHeight="1">
      <c r="A25" s="3">
        <v>23</v>
      </c>
      <c r="B25" s="1" t="s">
        <v>26</v>
      </c>
      <c r="C25" s="1">
        <v>0.019035135018043138</v>
      </c>
      <c r="D25" s="1">
        <v>0.03599204072516472</v>
      </c>
      <c r="E25" s="1">
        <v>0.02129588626246729</v>
      </c>
      <c r="F25" s="1">
        <v>0.020342447397819645</v>
      </c>
      <c r="G25" s="1">
        <v>0.032160290195590926</v>
      </c>
      <c r="H25" s="1">
        <v>0.02357881747710542</v>
      </c>
      <c r="I25" s="1">
        <v>0.06507739005237402</v>
      </c>
      <c r="J25" s="1">
        <v>0.06125826028062115</v>
      </c>
      <c r="K25" s="1">
        <v>0.0307263186242368</v>
      </c>
      <c r="L25" s="1">
        <v>0.021402707588962074</v>
      </c>
      <c r="M25" s="1">
        <v>0.023444886697902047</v>
      </c>
      <c r="N25" s="1">
        <v>0.014693271752736591</v>
      </c>
      <c r="O25" s="1">
        <v>0.013700637781991506</v>
      </c>
      <c r="P25" s="1">
        <v>0.01823813633060482</v>
      </c>
      <c r="Q25" s="1">
        <v>0.013276507037946266</v>
      </c>
      <c r="R25" s="1">
        <v>0.02393873493740614</v>
      </c>
      <c r="S25" s="1">
        <v>0.028790398649501444</v>
      </c>
      <c r="T25" s="1">
        <v>0.016831530559022586</v>
      </c>
      <c r="U25" s="1">
        <v>0.018366840652632763</v>
      </c>
      <c r="V25" s="1">
        <v>0.020841118933097966</v>
      </c>
      <c r="W25" s="1">
        <v>0.015742915541238</v>
      </c>
      <c r="X25" s="1">
        <v>0.0006365599733296107</v>
      </c>
      <c r="Y25" s="1">
        <v>0.08149274530999336</v>
      </c>
      <c r="Z25" s="1">
        <v>0.017167407106998274</v>
      </c>
      <c r="AA25" s="1">
        <v>0.02901625922147417</v>
      </c>
      <c r="AB25" s="1">
        <v>0.00986117490879661</v>
      </c>
      <c r="AC25" s="1">
        <v>0.011183723315389357</v>
      </c>
      <c r="AD25" s="1">
        <v>0.01819975254551098</v>
      </c>
      <c r="AE25" s="1">
        <v>0.008412032472267838</v>
      </c>
      <c r="AF25" s="1">
        <v>0.02103532439529613</v>
      </c>
      <c r="AG25" s="1">
        <v>0.050378702443362185</v>
      </c>
      <c r="AH25" s="1">
        <v>0.02484225404991561</v>
      </c>
      <c r="AI25" s="1">
        <v>0.02032601917350133</v>
      </c>
    </row>
    <row r="26" spans="1:35" ht="21" customHeight="1">
      <c r="A26" s="3">
        <v>24</v>
      </c>
      <c r="B26" s="1" t="s">
        <v>27</v>
      </c>
      <c r="C26" s="1">
        <v>0.0014796189570006365</v>
      </c>
      <c r="D26" s="1">
        <v>0.004809414691863359</v>
      </c>
      <c r="E26" s="1">
        <v>0.001114016850208729</v>
      </c>
      <c r="F26" s="1">
        <v>0.004641817143095907</v>
      </c>
      <c r="G26" s="1">
        <v>0.003581296747281051</v>
      </c>
      <c r="H26" s="1">
        <v>0.01551420851469782</v>
      </c>
      <c r="I26" s="1">
        <v>0.003593973215689731</v>
      </c>
      <c r="J26" s="1">
        <v>0.002946269309451452</v>
      </c>
      <c r="K26" s="1">
        <v>0.003075927769076173</v>
      </c>
      <c r="L26" s="1">
        <v>0.007393503241077411</v>
      </c>
      <c r="M26" s="1">
        <v>0.006818268559582076</v>
      </c>
      <c r="N26" s="1">
        <v>0.004486812804525386</v>
      </c>
      <c r="O26" s="1">
        <v>0.0030379367680715866</v>
      </c>
      <c r="P26" s="1">
        <v>0.0020994295344209605</v>
      </c>
      <c r="Q26" s="1">
        <v>0.004359990965800989</v>
      </c>
      <c r="R26" s="1">
        <v>0.00557360590069001</v>
      </c>
      <c r="S26" s="1">
        <v>0.012034082849064966</v>
      </c>
      <c r="T26" s="1">
        <v>0.003756569822505216</v>
      </c>
      <c r="U26" s="1">
        <v>0.008211359838482753</v>
      </c>
      <c r="V26" s="1">
        <v>0.0253261272819304</v>
      </c>
      <c r="W26" s="1">
        <v>0.021935686427711442</v>
      </c>
      <c r="X26" s="1">
        <v>0.001382180397982364</v>
      </c>
      <c r="Y26" s="1">
        <v>0.009931032933460343</v>
      </c>
      <c r="Z26" s="1">
        <v>0.14805125218351947</v>
      </c>
      <c r="AA26" s="1">
        <v>0.02017479910620091</v>
      </c>
      <c r="AB26" s="1">
        <v>0.011007775565419733</v>
      </c>
      <c r="AC26" s="1">
        <v>0.00574978674807618</v>
      </c>
      <c r="AD26" s="1">
        <v>0.02563821353042383</v>
      </c>
      <c r="AE26" s="1">
        <v>0.02333108245863093</v>
      </c>
      <c r="AF26" s="1">
        <v>0.012831316605403337</v>
      </c>
      <c r="AG26" s="1">
        <v>3.999915174905241E-08</v>
      </c>
      <c r="AH26" s="1">
        <v>0.028002534393999422</v>
      </c>
      <c r="AI26" s="1">
        <v>0.013416569331283856</v>
      </c>
    </row>
    <row r="27" spans="1:35" ht="21" customHeight="1">
      <c r="A27" s="3">
        <v>25</v>
      </c>
      <c r="B27" s="1" t="s">
        <v>28</v>
      </c>
      <c r="C27" s="1">
        <v>0</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0.16826241812431172</v>
      </c>
      <c r="AI27" s="1">
        <v>0.0007415039286868158</v>
      </c>
    </row>
    <row r="28" spans="1:35" ht="21" customHeight="1">
      <c r="A28" s="3">
        <v>26</v>
      </c>
      <c r="B28" s="1" t="s">
        <v>29</v>
      </c>
      <c r="C28" s="1">
        <v>0.0007021554588559602</v>
      </c>
      <c r="D28" s="1">
        <v>8.128340439463363E-05</v>
      </c>
      <c r="E28" s="1">
        <v>0.0031344370209159165</v>
      </c>
      <c r="F28" s="1">
        <v>0.010099666486722827</v>
      </c>
      <c r="G28" s="1">
        <v>0.006540356836712667</v>
      </c>
      <c r="H28" s="1">
        <v>0.13129812771132934</v>
      </c>
      <c r="I28" s="1">
        <v>0.006924314798534194</v>
      </c>
      <c r="J28" s="1">
        <v>0.02884746232039193</v>
      </c>
      <c r="K28" s="1">
        <v>0.008577970473682379</v>
      </c>
      <c r="L28" s="1">
        <v>0.032826118867411345</v>
      </c>
      <c r="M28" s="1">
        <v>0.010508430048094928</v>
      </c>
      <c r="N28" s="1">
        <v>0.030406646491942756</v>
      </c>
      <c r="O28" s="1">
        <v>0.07520272001918196</v>
      </c>
      <c r="P28" s="1">
        <v>0.02771882712061306</v>
      </c>
      <c r="Q28" s="1">
        <v>0.07688401298189322</v>
      </c>
      <c r="R28" s="1">
        <v>0.016033841632534056</v>
      </c>
      <c r="S28" s="1">
        <v>0.002417234350802094</v>
      </c>
      <c r="T28" s="1">
        <v>0.01988182167330497</v>
      </c>
      <c r="U28" s="1">
        <v>0.00015760492580944779</v>
      </c>
      <c r="V28" s="1">
        <v>0.0016342359628883205</v>
      </c>
      <c r="W28" s="1">
        <v>0.0005006512191811561</v>
      </c>
      <c r="X28" s="1">
        <v>2.0929216804311794E-06</v>
      </c>
      <c r="Y28" s="1">
        <v>0.0016262855768111712</v>
      </c>
      <c r="Z28" s="1">
        <v>0.012265122498069402</v>
      </c>
      <c r="AA28" s="1">
        <v>0.00030045765108474456</v>
      </c>
      <c r="AB28" s="1">
        <v>8.2233555897583E-07</v>
      </c>
      <c r="AC28" s="1">
        <v>0.00015188334052781987</v>
      </c>
      <c r="AD28" s="1">
        <v>6.506967533598162E-07</v>
      </c>
      <c r="AE28" s="1">
        <v>0.0017376150499780097</v>
      </c>
      <c r="AF28" s="1">
        <v>0.00026743008113640557</v>
      </c>
      <c r="AG28" s="1">
        <v>2.999997760021882E-08</v>
      </c>
      <c r="AH28" s="1">
        <v>0.013195297642197538</v>
      </c>
      <c r="AI28" s="1">
        <v>0.01322958030283173</v>
      </c>
    </row>
    <row r="29" spans="1:35" ht="21" customHeight="1">
      <c r="A29" s="3">
        <v>27</v>
      </c>
      <c r="B29" s="1" t="s">
        <v>30</v>
      </c>
      <c r="C29" s="1">
        <v>7.656994618802075E-09</v>
      </c>
      <c r="D29" s="1">
        <v>1.1452009073323811E-08</v>
      </c>
      <c r="E29" s="1">
        <v>7.638751125222345E-09</v>
      </c>
      <c r="F29" s="1">
        <v>1.2254718250613272E-08</v>
      </c>
      <c r="G29" s="1">
        <v>9.794317551365E-07</v>
      </c>
      <c r="H29" s="1">
        <v>3.0608225423306583E-05</v>
      </c>
      <c r="I29" s="1">
        <v>1.3486597099142638E-08</v>
      </c>
      <c r="J29" s="1">
        <v>1.122372167928271E-08</v>
      </c>
      <c r="K29" s="1">
        <v>7.413963746948609E-07</v>
      </c>
      <c r="L29" s="1">
        <v>1.2516700370531546E-08</v>
      </c>
      <c r="M29" s="1">
        <v>1.0156041930901746E-08</v>
      </c>
      <c r="N29" s="1">
        <v>1.2366030854922342E-08</v>
      </c>
      <c r="O29" s="1">
        <v>1.5443260745632034E-08</v>
      </c>
      <c r="P29" s="1">
        <v>1.3382895079997474E-08</v>
      </c>
      <c r="Q29" s="1">
        <v>1.1116316533782546E-08</v>
      </c>
      <c r="R29" s="1">
        <v>1.772154663034794E-06</v>
      </c>
      <c r="S29" s="1">
        <v>5.781344106302232E-07</v>
      </c>
      <c r="T29" s="1">
        <v>2.2807110832522476E-07</v>
      </c>
      <c r="U29" s="1">
        <v>3.363856279086226E-05</v>
      </c>
      <c r="V29" s="1">
        <v>1.4614858790527764E-05</v>
      </c>
      <c r="W29" s="1">
        <v>2.7144177922886784E-05</v>
      </c>
      <c r="X29" s="1">
        <v>1.9783171425143954E-06</v>
      </c>
      <c r="Y29" s="1">
        <v>1.6406774133102844E-05</v>
      </c>
      <c r="Z29" s="1">
        <v>4.201624526053468E-05</v>
      </c>
      <c r="AA29" s="1">
        <v>1.1057684047879127E-05</v>
      </c>
      <c r="AB29" s="1">
        <v>5.223812435763958E-06</v>
      </c>
      <c r="AC29" s="1">
        <v>0.017472811618011955</v>
      </c>
      <c r="AD29" s="1">
        <v>9.038771555876552E-06</v>
      </c>
      <c r="AE29" s="1">
        <v>4.097518961461096E-06</v>
      </c>
      <c r="AF29" s="1">
        <v>3.0256679712501883E-05</v>
      </c>
      <c r="AG29" s="1">
        <v>1.999985783427035E-08</v>
      </c>
      <c r="AH29" s="1">
        <v>1.3890131055193371E-08</v>
      </c>
      <c r="AI29" s="1">
        <v>0.0011776231612586324</v>
      </c>
    </row>
    <row r="30" spans="1:35" ht="21" customHeight="1">
      <c r="A30" s="3">
        <v>28</v>
      </c>
      <c r="B30" s="1" t="s">
        <v>31</v>
      </c>
      <c r="C30" s="1">
        <v>0.00034923340980893034</v>
      </c>
      <c r="D30" s="1">
        <v>0.0014697414675757929</v>
      </c>
      <c r="E30" s="1">
        <v>0.000650304592782378</v>
      </c>
      <c r="F30" s="1">
        <v>0.0009620053145022946</v>
      </c>
      <c r="G30" s="1">
        <v>0.0006559641998022342</v>
      </c>
      <c r="H30" s="1">
        <v>0.002549167606266602</v>
      </c>
      <c r="I30" s="1">
        <v>0.0008963779918303576</v>
      </c>
      <c r="J30" s="1">
        <v>0.001216627564124018</v>
      </c>
      <c r="K30" s="1">
        <v>0.0011911316235049554</v>
      </c>
      <c r="L30" s="1">
        <v>0.0004902987793100537</v>
      </c>
      <c r="M30" s="1">
        <v>0.0013110890144420976</v>
      </c>
      <c r="N30" s="1">
        <v>0.0011703873028546241</v>
      </c>
      <c r="O30" s="1">
        <v>0.0007710024805707104</v>
      </c>
      <c r="P30" s="1">
        <v>0.000355997626017459</v>
      </c>
      <c r="Q30" s="1">
        <v>0.0004091478411978347</v>
      </c>
      <c r="R30" s="1">
        <v>0.0007631123625797708</v>
      </c>
      <c r="S30" s="1">
        <v>0.0009505749388135265</v>
      </c>
      <c r="T30" s="1">
        <v>0.0012667111487381965</v>
      </c>
      <c r="U30" s="1">
        <v>0.008313359230352129</v>
      </c>
      <c r="V30" s="1">
        <v>0.0005269056427937253</v>
      </c>
      <c r="W30" s="1">
        <v>0.002172304003556406</v>
      </c>
      <c r="X30" s="1">
        <v>0.00018255720407804528</v>
      </c>
      <c r="Y30" s="1">
        <v>0.0013554733484496895</v>
      </c>
      <c r="Z30" s="1">
        <v>0.0009660201382217343</v>
      </c>
      <c r="AA30" s="1">
        <v>9.645749446748143E-06</v>
      </c>
      <c r="AB30" s="1">
        <v>0.0010605400589902222</v>
      </c>
      <c r="AC30" s="1">
        <v>0.0009593612089917761</v>
      </c>
      <c r="AD30" s="1">
        <v>3.1919116832363343E-09</v>
      </c>
      <c r="AE30" s="1">
        <v>0.0017919146004533382</v>
      </c>
      <c r="AF30" s="1">
        <v>0.002895184151231797</v>
      </c>
      <c r="AG30" s="1">
        <v>9.999999210700936E-09</v>
      </c>
      <c r="AH30" s="1">
        <v>0.0011350002664274766</v>
      </c>
      <c r="AI30" s="1">
        <v>0.0011595728216531535</v>
      </c>
    </row>
    <row r="31" spans="1:35" ht="21" customHeight="1">
      <c r="A31" s="3">
        <v>29</v>
      </c>
      <c r="B31" s="1" t="s">
        <v>32</v>
      </c>
      <c r="C31" s="1">
        <v>0.024766616264941956</v>
      </c>
      <c r="D31" s="1">
        <v>0.17432826775628066</v>
      </c>
      <c r="E31" s="1">
        <v>0.031187706691991727</v>
      </c>
      <c r="F31" s="1">
        <v>0.03602362147260929</v>
      </c>
      <c r="G31" s="1">
        <v>0.041169522160213044</v>
      </c>
      <c r="H31" s="1">
        <v>0.07588287369402567</v>
      </c>
      <c r="I31" s="1">
        <v>0.0535433211098254</v>
      </c>
      <c r="J31" s="1">
        <v>0.05369581036249026</v>
      </c>
      <c r="K31" s="1">
        <v>0.043710845966043355</v>
      </c>
      <c r="L31" s="1">
        <v>0.03596660227579335</v>
      </c>
      <c r="M31" s="1">
        <v>0.0484130330900083</v>
      </c>
      <c r="N31" s="1">
        <v>0.0546503399961525</v>
      </c>
      <c r="O31" s="1">
        <v>0.04928745392838555</v>
      </c>
      <c r="P31" s="1">
        <v>0.02989749662824859</v>
      </c>
      <c r="Q31" s="1">
        <v>0.04491147907200654</v>
      </c>
      <c r="R31" s="1">
        <v>0.04493224217982238</v>
      </c>
      <c r="S31" s="1">
        <v>0.08484608351067084</v>
      </c>
      <c r="T31" s="1">
        <v>0.09964598354384054</v>
      </c>
      <c r="U31" s="1">
        <v>0.0628293747759444</v>
      </c>
      <c r="V31" s="1">
        <v>0.07522491476325475</v>
      </c>
      <c r="W31" s="1">
        <v>0.130406818467607</v>
      </c>
      <c r="X31" s="1">
        <v>0.02176856814788876</v>
      </c>
      <c r="Y31" s="1">
        <v>0.082511675032837</v>
      </c>
      <c r="Z31" s="1">
        <v>0.11732686201914982</v>
      </c>
      <c r="AA31" s="1">
        <v>0.10752972005604303</v>
      </c>
      <c r="AB31" s="1">
        <v>0.04847369048799201</v>
      </c>
      <c r="AC31" s="1">
        <v>0.04786259856059968</v>
      </c>
      <c r="AD31" s="1">
        <v>0.07931348099393708</v>
      </c>
      <c r="AE31" s="1">
        <v>0.09782375095545581</v>
      </c>
      <c r="AF31" s="1">
        <v>0.039555048367233725</v>
      </c>
      <c r="AG31" s="1">
        <v>7.000001197045522E-08</v>
      </c>
      <c r="AH31" s="1">
        <v>0.06773444139363245</v>
      </c>
      <c r="AI31" s="1">
        <v>0.06406863373729928</v>
      </c>
    </row>
    <row r="32" spans="1:35" ht="21" customHeight="1">
      <c r="A32" s="3">
        <v>30</v>
      </c>
      <c r="B32" s="1" t="s">
        <v>33</v>
      </c>
      <c r="C32" s="1">
        <v>0.0004511585896760956</v>
      </c>
      <c r="D32" s="1">
        <v>0.0002964179597676825</v>
      </c>
      <c r="E32" s="1">
        <v>0.00020984486681712813</v>
      </c>
      <c r="F32" s="1">
        <v>0.000299175320134007</v>
      </c>
      <c r="G32" s="1">
        <v>0.00026046438045644485</v>
      </c>
      <c r="H32" s="1">
        <v>0.0003125244672895632</v>
      </c>
      <c r="I32" s="1">
        <v>0.00030978057478693534</v>
      </c>
      <c r="J32" s="1">
        <v>0.0003024945970843792</v>
      </c>
      <c r="K32" s="1">
        <v>0.0002535495969604023</v>
      </c>
      <c r="L32" s="1">
        <v>0.0002520932500174244</v>
      </c>
      <c r="M32" s="1">
        <v>0.0002185646387804344</v>
      </c>
      <c r="N32" s="1">
        <v>0.0002768603505253873</v>
      </c>
      <c r="O32" s="1">
        <v>0.0002533894585700205</v>
      </c>
      <c r="P32" s="1">
        <v>0.00021305489754354397</v>
      </c>
      <c r="Q32" s="1">
        <v>0.00017364305714796574</v>
      </c>
      <c r="R32" s="1">
        <v>0.0004795456297325921</v>
      </c>
      <c r="S32" s="1">
        <v>0.0005108565250627324</v>
      </c>
      <c r="T32" s="1">
        <v>0.00047533185630152904</v>
      </c>
      <c r="U32" s="1">
        <v>0.0005721319588513764</v>
      </c>
      <c r="V32" s="1">
        <v>0.0017194284466234336</v>
      </c>
      <c r="W32" s="1">
        <v>0.0007075583307638645</v>
      </c>
      <c r="X32" s="1">
        <v>0.0006626294320387578</v>
      </c>
      <c r="Y32" s="1">
        <v>0.0008677650796830706</v>
      </c>
      <c r="Z32" s="1">
        <v>0.04328894103224805</v>
      </c>
      <c r="AA32" s="1">
        <v>0.002392126749355091</v>
      </c>
      <c r="AB32" s="1">
        <v>0.0010886361140050533</v>
      </c>
      <c r="AC32" s="1">
        <v>0.016913377642189628</v>
      </c>
      <c r="AD32" s="1">
        <v>0.00508975876479466</v>
      </c>
      <c r="AE32" s="1">
        <v>0.00496907357089821</v>
      </c>
      <c r="AF32" s="1">
        <v>0.023524341676074638</v>
      </c>
      <c r="AG32" s="1">
        <v>2.0000005729227805E-08</v>
      </c>
      <c r="AH32" s="1">
        <v>0.012229329561567671</v>
      </c>
      <c r="AI32" s="1">
        <v>0.004741081600900569</v>
      </c>
    </row>
    <row r="33" spans="1:35" ht="21" customHeight="1">
      <c r="A33" s="3">
        <v>31</v>
      </c>
      <c r="B33" s="1" t="s">
        <v>34</v>
      </c>
      <c r="C33" s="1">
        <v>0.0006660220878285188</v>
      </c>
      <c r="D33" s="1">
        <v>0.0014563616220818307</v>
      </c>
      <c r="E33" s="1">
        <v>0.0007467144843399795</v>
      </c>
      <c r="F33" s="1">
        <v>0.001985748478635219</v>
      </c>
      <c r="G33" s="1">
        <v>0.0014453790391623662</v>
      </c>
      <c r="H33" s="1">
        <v>0.0009164529651463926</v>
      </c>
      <c r="I33" s="1">
        <v>0.0006030666000105399</v>
      </c>
      <c r="J33" s="1">
        <v>0.0015842902131130725</v>
      </c>
      <c r="K33" s="1">
        <v>0.0010833497044366142</v>
      </c>
      <c r="L33" s="1">
        <v>0.0006951067809212055</v>
      </c>
      <c r="M33" s="1">
        <v>0.0019422725822413093</v>
      </c>
      <c r="N33" s="1">
        <v>0.0016180975013610779</v>
      </c>
      <c r="O33" s="1">
        <v>0.0010640830500732235</v>
      </c>
      <c r="P33" s="1">
        <v>0.0006734966400394134</v>
      </c>
      <c r="Q33" s="1">
        <v>0.0015377486927456345</v>
      </c>
      <c r="R33" s="1">
        <v>0.0012899546547447394</v>
      </c>
      <c r="S33" s="1">
        <v>0.0004449449267226569</v>
      </c>
      <c r="T33" s="1">
        <v>0.0007111209492447029</v>
      </c>
      <c r="U33" s="1">
        <v>0.00175429736202502</v>
      </c>
      <c r="V33" s="1">
        <v>0.003911303170020174</v>
      </c>
      <c r="W33" s="1">
        <v>0.004111089053027513</v>
      </c>
      <c r="X33" s="1">
        <v>0.00029385858422195334</v>
      </c>
      <c r="Y33" s="1">
        <v>0.002020340084191561</v>
      </c>
      <c r="Z33" s="1">
        <v>0.002251673742247497</v>
      </c>
      <c r="AA33" s="1">
        <v>0.0032707507732864325</v>
      </c>
      <c r="AB33" s="1">
        <v>0.0038173488486962174</v>
      </c>
      <c r="AC33" s="1">
        <v>0.0025259409615068142</v>
      </c>
      <c r="AD33" s="1">
        <v>0.004771139151888814</v>
      </c>
      <c r="AE33" s="1">
        <v>0.0023577600215434224</v>
      </c>
      <c r="AF33" s="1">
        <v>0.002532503281201261</v>
      </c>
      <c r="AG33" s="1">
        <v>1.0000002598281234E-08</v>
      </c>
      <c r="AH33" s="1">
        <v>0.00028440300769707537</v>
      </c>
      <c r="AI33" s="1">
        <v>0.001942727072749803</v>
      </c>
    </row>
    <row r="34" spans="1:35" ht="21" customHeight="1">
      <c r="A34" s="3">
        <v>32</v>
      </c>
      <c r="B34" s="1" t="s">
        <v>35</v>
      </c>
      <c r="C34" s="1">
        <v>0.005815557686608147</v>
      </c>
      <c r="D34" s="1">
        <v>0.01614900706363459</v>
      </c>
      <c r="E34" s="1">
        <v>0.009983672658726324</v>
      </c>
      <c r="F34" s="1">
        <v>0.008252674156052556</v>
      </c>
      <c r="G34" s="1">
        <v>0.006870426832538523</v>
      </c>
      <c r="H34" s="1">
        <v>0.00945537148929735</v>
      </c>
      <c r="I34" s="1">
        <v>0.009836536550975928</v>
      </c>
      <c r="J34" s="1">
        <v>0.0035259154129601037</v>
      </c>
      <c r="K34" s="1">
        <v>0.014661708221118265</v>
      </c>
      <c r="L34" s="1">
        <v>0.005313223750084544</v>
      </c>
      <c r="M34" s="1">
        <v>0.012681952755354156</v>
      </c>
      <c r="N34" s="1">
        <v>0.009028274267296809</v>
      </c>
      <c r="O34" s="1">
        <v>0.00627764835569334</v>
      </c>
      <c r="P34" s="1">
        <v>0.002862993704253898</v>
      </c>
      <c r="Q34" s="1">
        <v>0.005050094525624943</v>
      </c>
      <c r="R34" s="1">
        <v>0.00628657748292561</v>
      </c>
      <c r="S34" s="1">
        <v>0.004000692208762002</v>
      </c>
      <c r="T34" s="1">
        <v>0.00476339594992191</v>
      </c>
      <c r="U34" s="1">
        <v>0.005822066591293679</v>
      </c>
      <c r="V34" s="1">
        <v>0.005672818276578815</v>
      </c>
      <c r="W34" s="1">
        <v>0.006749578120711869</v>
      </c>
      <c r="X34" s="1">
        <v>0.003803841390807772</v>
      </c>
      <c r="Y34" s="1">
        <v>0.005412545539673996</v>
      </c>
      <c r="Z34" s="1">
        <v>0.004563675632612033</v>
      </c>
      <c r="AA34" s="1">
        <v>0.0006967191866004065</v>
      </c>
      <c r="AB34" s="1">
        <v>0.0012943270007905903</v>
      </c>
      <c r="AC34" s="1">
        <v>0.0020312953795167464</v>
      </c>
      <c r="AD34" s="1">
        <v>0.006091138964360069</v>
      </c>
      <c r="AE34" s="1">
        <v>0.003646462127818385</v>
      </c>
      <c r="AF34" s="1">
        <v>0.003722602686254029</v>
      </c>
      <c r="AG34" s="1">
        <v>0.0001709941497201072</v>
      </c>
      <c r="AH34" s="1">
        <v>6.945113810737278E-09</v>
      </c>
      <c r="AI34" s="1">
        <v>0.0052213487045464</v>
      </c>
    </row>
    <row r="35" s="2" customFormat="1" ht="19.5" customHeight="1">
      <c r="A35" s="5"/>
    </row>
  </sheetData>
  <sheetProtection/>
  <printOptions/>
  <pageMargins left="0.7874015748031497" right="0.7874015748031497" top="0.984251968503937" bottom="0.984251968503937" header="0.5118110236220472" footer="0.5118110236220472"/>
  <pageSetup fitToWidth="2" fitToHeight="1" horizontalDpi="300" verticalDpi="300" orientation="landscape" paperSize="12" scale="76" r:id="rId1"/>
  <headerFooter alignWithMargins="0">
    <oddHeader>&amp;LFILE=&amp;F,SHEET=&amp;A</oddHeader>
    <oddFooter>&amp;C&amp;P/&amp;N㌻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36"/>
  <sheetViews>
    <sheetView showGridLines="0" zoomScale="80" zoomScaleNormal="80" zoomScalePageLayoutView="0" workbookViewId="0" topLeftCell="A1">
      <selection activeCell="A1" sqref="A1"/>
    </sheetView>
  </sheetViews>
  <sheetFormatPr defaultColWidth="10.59765625" defaultRowHeight="19.5" customHeight="1"/>
  <cols>
    <col min="1" max="1" width="4.09765625" style="3" customWidth="1"/>
    <col min="2" max="2" width="20.5" style="1" customWidth="1"/>
    <col min="3" max="16384" width="10.59765625" style="1" customWidth="1"/>
  </cols>
  <sheetData>
    <row r="1" spans="2:34" s="6" customFormat="1" ht="21" customHeight="1">
      <c r="B1" s="8" t="s">
        <v>41</v>
      </c>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c r="V1" s="6">
        <v>20</v>
      </c>
      <c r="W1" s="6">
        <v>21</v>
      </c>
      <c r="X1" s="6">
        <v>22</v>
      </c>
      <c r="Y1" s="6">
        <v>23</v>
      </c>
      <c r="Z1" s="6">
        <v>24</v>
      </c>
      <c r="AA1" s="6">
        <v>25</v>
      </c>
      <c r="AB1" s="6">
        <v>26</v>
      </c>
      <c r="AC1" s="6">
        <v>27</v>
      </c>
      <c r="AD1" s="6">
        <v>28</v>
      </c>
      <c r="AE1" s="6">
        <v>29</v>
      </c>
      <c r="AF1" s="6">
        <v>30</v>
      </c>
      <c r="AG1" s="6">
        <v>31</v>
      </c>
      <c r="AH1" s="6">
        <v>32</v>
      </c>
    </row>
    <row r="2" spans="1:34" s="4" customFormat="1" ht="27">
      <c r="A2" s="6"/>
      <c r="C2" s="4" t="s">
        <v>4</v>
      </c>
      <c r="D2" s="4" t="s">
        <v>5</v>
      </c>
      <c r="E2" s="4" t="s">
        <v>6</v>
      </c>
      <c r="F2" s="4" t="s">
        <v>7</v>
      </c>
      <c r="G2" s="7" t="s">
        <v>8</v>
      </c>
      <c r="H2" s="4" t="s">
        <v>9</v>
      </c>
      <c r="I2" s="4" t="s">
        <v>10</v>
      </c>
      <c r="J2" s="4" t="s">
        <v>11</v>
      </c>
      <c r="K2" s="4" t="s">
        <v>12</v>
      </c>
      <c r="L2" s="4" t="s">
        <v>13</v>
      </c>
      <c r="M2" s="4" t="s">
        <v>14</v>
      </c>
      <c r="N2" s="4" t="s">
        <v>15</v>
      </c>
      <c r="O2" s="4" t="s">
        <v>16</v>
      </c>
      <c r="P2" s="4" t="s">
        <v>17</v>
      </c>
      <c r="Q2" s="4" t="s">
        <v>18</v>
      </c>
      <c r="R2" s="4" t="s">
        <v>19</v>
      </c>
      <c r="S2" s="4" t="s">
        <v>20</v>
      </c>
      <c r="T2" s="4" t="s">
        <v>38</v>
      </c>
      <c r="U2" s="4" t="s">
        <v>22</v>
      </c>
      <c r="V2" s="4" t="s">
        <v>23</v>
      </c>
      <c r="W2" s="4" t="s">
        <v>24</v>
      </c>
      <c r="X2" s="4" t="s">
        <v>25</v>
      </c>
      <c r="Y2" s="4" t="s">
        <v>26</v>
      </c>
      <c r="Z2" s="4" t="s">
        <v>27</v>
      </c>
      <c r="AA2" s="4" t="s">
        <v>28</v>
      </c>
      <c r="AB2" s="4" t="s">
        <v>29</v>
      </c>
      <c r="AC2" s="4" t="s">
        <v>30</v>
      </c>
      <c r="AD2" s="4" t="s">
        <v>31</v>
      </c>
      <c r="AE2" s="4" t="s">
        <v>32</v>
      </c>
      <c r="AF2" s="4" t="s">
        <v>33</v>
      </c>
      <c r="AG2" s="4" t="s">
        <v>34</v>
      </c>
      <c r="AH2" s="4" t="s">
        <v>35</v>
      </c>
    </row>
    <row r="3" spans="1:34" ht="21" customHeight="1">
      <c r="A3" s="3">
        <v>1</v>
      </c>
      <c r="B3" s="1" t="s">
        <v>4</v>
      </c>
      <c r="C3" s="1">
        <v>1.028640725445975</v>
      </c>
      <c r="D3" s="1">
        <v>0.00014856383790196439</v>
      </c>
      <c r="E3" s="1">
        <v>0.05226555005780274</v>
      </c>
      <c r="F3" s="1">
        <v>0.0065202313974679835</v>
      </c>
      <c r="G3" s="1">
        <v>0.028685797441513637</v>
      </c>
      <c r="H3" s="1">
        <v>0.0008558187531631579</v>
      </c>
      <c r="I3" s="1">
        <v>0.0004071986166851353</v>
      </c>
      <c r="J3" s="1">
        <v>0.000364418958277947</v>
      </c>
      <c r="K3" s="1">
        <v>0.00011062509839247949</v>
      </c>
      <c r="L3" s="1">
        <v>0.00013624308965378787</v>
      </c>
      <c r="M3" s="1">
        <v>0.00010733667968487902</v>
      </c>
      <c r="N3" s="1">
        <v>8.64781928206691E-05</v>
      </c>
      <c r="O3" s="1">
        <v>0.00014179434251649798</v>
      </c>
      <c r="P3" s="1">
        <v>7.434810769435944E-05</v>
      </c>
      <c r="Q3" s="1">
        <v>0.0001678867488492471</v>
      </c>
      <c r="R3" s="1">
        <v>0.002068475102405404</v>
      </c>
      <c r="S3" s="1">
        <v>0.0013773260559213538</v>
      </c>
      <c r="T3" s="1">
        <v>0.00013656059811055797</v>
      </c>
      <c r="U3" s="1">
        <v>0.0001345222679452399</v>
      </c>
      <c r="V3" s="1">
        <v>0.00020484121188989654</v>
      </c>
      <c r="W3" s="1">
        <v>0.00012139057365356238</v>
      </c>
      <c r="X3" s="1">
        <v>8.010158153667743E-05</v>
      </c>
      <c r="Y3" s="1">
        <v>0.0001497123144266639</v>
      </c>
      <c r="Z3" s="1">
        <v>0.0004756614388462087</v>
      </c>
      <c r="AA3" s="1">
        <v>0.00018317367024564947</v>
      </c>
      <c r="AB3" s="1">
        <v>0.0004494469414334064</v>
      </c>
      <c r="AC3" s="1">
        <v>0.002390712155771548</v>
      </c>
      <c r="AD3" s="1">
        <v>0.0010892601927561768</v>
      </c>
      <c r="AE3" s="1">
        <v>0.00015188424186959054</v>
      </c>
      <c r="AF3" s="1">
        <v>0.00990035734275009</v>
      </c>
      <c r="AG3" s="1">
        <v>0.004035741042289991</v>
      </c>
      <c r="AH3" s="1">
        <v>0.0003658038941480329</v>
      </c>
    </row>
    <row r="4" spans="1:34" ht="21" customHeight="1">
      <c r="A4" s="3">
        <v>2</v>
      </c>
      <c r="B4" s="1" t="s">
        <v>5</v>
      </c>
      <c r="C4" s="1">
        <v>0.00019596189103462535</v>
      </c>
      <c r="D4" s="1">
        <v>1.001439638404254</v>
      </c>
      <c r="E4" s="1">
        <v>0.0001817337735865456</v>
      </c>
      <c r="F4" s="1">
        <v>0.0006090320885328653</v>
      </c>
      <c r="G4" s="1">
        <v>0.0007696702621691194</v>
      </c>
      <c r="H4" s="1">
        <v>0.0012533330945205914</v>
      </c>
      <c r="I4" s="1">
        <v>0.027552820280267242</v>
      </c>
      <c r="J4" s="1">
        <v>0.025883080826821225</v>
      </c>
      <c r="K4" s="1">
        <v>0.001446900306516812</v>
      </c>
      <c r="L4" s="1">
        <v>0.0006584636969920747</v>
      </c>
      <c r="M4" s="1">
        <v>0.0005422419571415477</v>
      </c>
      <c r="N4" s="1">
        <v>0.0003541656003989791</v>
      </c>
      <c r="O4" s="1">
        <v>0.0005379218028730393</v>
      </c>
      <c r="P4" s="1">
        <v>0.00026342521734928036</v>
      </c>
      <c r="Q4" s="1">
        <v>0.00031434426138777664</v>
      </c>
      <c r="R4" s="1">
        <v>0.0006939274667157824</v>
      </c>
      <c r="S4" s="1">
        <v>0.0043591497709892105</v>
      </c>
      <c r="T4" s="1">
        <v>0.03370725352458804</v>
      </c>
      <c r="U4" s="1">
        <v>0.0010038403542953038</v>
      </c>
      <c r="V4" s="1">
        <v>0.0002650906253438273</v>
      </c>
      <c r="W4" s="1">
        <v>0.00012176469683626017</v>
      </c>
      <c r="X4" s="1">
        <v>0.00023483134522569755</v>
      </c>
      <c r="Y4" s="1">
        <v>0.0003571512709935111</v>
      </c>
      <c r="Z4" s="1">
        <v>0.00025862651753641924</v>
      </c>
      <c r="AA4" s="1">
        <v>0.0004319227045600835</v>
      </c>
      <c r="AB4" s="1">
        <v>0.0005131041283687806</v>
      </c>
      <c r="AC4" s="1">
        <v>0.00038061706784323004</v>
      </c>
      <c r="AD4" s="1">
        <v>0.00014446484720400123</v>
      </c>
      <c r="AE4" s="1">
        <v>0.00015295994352010144</v>
      </c>
      <c r="AF4" s="1">
        <v>0.0005339298363795971</v>
      </c>
      <c r="AG4" s="1">
        <v>0.00022896758080895855</v>
      </c>
      <c r="AH4" s="1">
        <v>0.00039726722861832076</v>
      </c>
    </row>
    <row r="5" spans="1:34" ht="21" customHeight="1">
      <c r="A5" s="3">
        <v>3</v>
      </c>
      <c r="B5" s="1" t="s">
        <v>6</v>
      </c>
      <c r="C5" s="1">
        <v>0.020244188586219146</v>
      </c>
      <c r="D5" s="1">
        <v>7.17325228309673E-05</v>
      </c>
      <c r="E5" s="1">
        <v>1.0286808027054135</v>
      </c>
      <c r="F5" s="1">
        <v>0.00046150468577113455</v>
      </c>
      <c r="G5" s="1">
        <v>0.0007497620338169195</v>
      </c>
      <c r="H5" s="1">
        <v>0.0015002706524246195</v>
      </c>
      <c r="I5" s="1">
        <v>6.426843190556992E-05</v>
      </c>
      <c r="J5" s="1">
        <v>0.00019109951921390675</v>
      </c>
      <c r="K5" s="1">
        <v>4.878147062853768E-05</v>
      </c>
      <c r="L5" s="1">
        <v>4.9123844754232295E-05</v>
      </c>
      <c r="M5" s="1">
        <v>4.7324200762889396E-05</v>
      </c>
      <c r="N5" s="1">
        <v>5.0416577475504345E-05</v>
      </c>
      <c r="O5" s="1">
        <v>6.136027255540524E-05</v>
      </c>
      <c r="P5" s="1">
        <v>3.830639874003792E-05</v>
      </c>
      <c r="Q5" s="1">
        <v>5.613003489317312E-05</v>
      </c>
      <c r="R5" s="1">
        <v>0.00013470719092376868</v>
      </c>
      <c r="S5" s="1">
        <v>9.320207591231209E-05</v>
      </c>
      <c r="T5" s="1">
        <v>5.799843775446762E-05</v>
      </c>
      <c r="U5" s="1">
        <v>6.207450560686985E-05</v>
      </c>
      <c r="V5" s="1">
        <v>0.00016589322372849305</v>
      </c>
      <c r="W5" s="1">
        <v>8.304105107471352E-05</v>
      </c>
      <c r="X5" s="1">
        <v>3.5487566575728276E-05</v>
      </c>
      <c r="Y5" s="1">
        <v>0.00012494501134591325</v>
      </c>
      <c r="Z5" s="1">
        <v>0.0015336427430157863</v>
      </c>
      <c r="AA5" s="1">
        <v>0.0002681616758662164</v>
      </c>
      <c r="AB5" s="1">
        <v>0.00026697967089353596</v>
      </c>
      <c r="AC5" s="1">
        <v>0.005987266245203175</v>
      </c>
      <c r="AD5" s="1">
        <v>0.0007607734963271785</v>
      </c>
      <c r="AE5" s="1">
        <v>0.0002097778681124937</v>
      </c>
      <c r="AF5" s="1">
        <v>0.03761763882263401</v>
      </c>
      <c r="AG5" s="1">
        <v>0.0001482147130542086</v>
      </c>
      <c r="AH5" s="1">
        <v>0.0005880038201341837</v>
      </c>
    </row>
    <row r="6" spans="1:34" ht="21" customHeight="1">
      <c r="A6" s="3">
        <v>4</v>
      </c>
      <c r="B6" s="1" t="s">
        <v>7</v>
      </c>
      <c r="C6" s="1">
        <v>0.0019765944683612273</v>
      </c>
      <c r="D6" s="1">
        <v>0.0021616996123586724</v>
      </c>
      <c r="E6" s="1">
        <v>0.00038676922580991777</v>
      </c>
      <c r="F6" s="1">
        <v>1.0366799546436458</v>
      </c>
      <c r="G6" s="1">
        <v>0.0017887681381248014</v>
      </c>
      <c r="H6" s="1">
        <v>0.000453732661962214</v>
      </c>
      <c r="I6" s="1">
        <v>0.0025432498599139088</v>
      </c>
      <c r="J6" s="1">
        <v>0.0010249617331946153</v>
      </c>
      <c r="K6" s="1">
        <v>0.0004613932498038755</v>
      </c>
      <c r="L6" s="1">
        <v>0.0004936327454287719</v>
      </c>
      <c r="M6" s="1">
        <v>0.000470190545263628</v>
      </c>
      <c r="N6" s="1">
        <v>0.00037880692862681377</v>
      </c>
      <c r="O6" s="1">
        <v>0.0007900727125235454</v>
      </c>
      <c r="P6" s="1">
        <v>0.0003263236545134162</v>
      </c>
      <c r="Q6" s="1">
        <v>0.0004589079950630073</v>
      </c>
      <c r="R6" s="1">
        <v>0.0007122677639344161</v>
      </c>
      <c r="S6" s="1">
        <v>0.0007969380310019963</v>
      </c>
      <c r="T6" s="1">
        <v>0.000270607828079999</v>
      </c>
      <c r="U6" s="1">
        <v>0.0004704203015949985</v>
      </c>
      <c r="V6" s="1">
        <v>0.0009195995915971376</v>
      </c>
      <c r="W6" s="1">
        <v>0.0004948981887858442</v>
      </c>
      <c r="X6" s="1">
        <v>8.108477401061829E-05</v>
      </c>
      <c r="Y6" s="1">
        <v>0.0006244927016330513</v>
      </c>
      <c r="Z6" s="1">
        <v>0.000351609116193297</v>
      </c>
      <c r="AA6" s="1">
        <v>0.0008177213828715944</v>
      </c>
      <c r="AB6" s="1">
        <v>0.00013277501535580773</v>
      </c>
      <c r="AC6" s="1">
        <v>0.0009841373433366496</v>
      </c>
      <c r="AD6" s="1">
        <v>0.0038955107050203785</v>
      </c>
      <c r="AE6" s="1">
        <v>0.0005291571963669361</v>
      </c>
      <c r="AF6" s="1">
        <v>0.0012724206875184738</v>
      </c>
      <c r="AG6" s="1">
        <v>0.004785688050007518</v>
      </c>
      <c r="AH6" s="1">
        <v>0.0021798169859024497</v>
      </c>
    </row>
    <row r="7" spans="1:34" ht="21" customHeight="1">
      <c r="A7" s="3">
        <v>5</v>
      </c>
      <c r="B7" s="1" t="s">
        <v>8</v>
      </c>
      <c r="C7" s="1">
        <v>0.005123706388732367</v>
      </c>
      <c r="D7" s="1">
        <v>0.002670777649205155</v>
      </c>
      <c r="E7" s="1">
        <v>0.004667751463376559</v>
      </c>
      <c r="F7" s="1">
        <v>0.00460034587771676</v>
      </c>
      <c r="G7" s="1">
        <v>1.049704883642587</v>
      </c>
      <c r="H7" s="1">
        <v>0.005514638315323104</v>
      </c>
      <c r="I7" s="1">
        <v>0.001317958934163758</v>
      </c>
      <c r="J7" s="1">
        <v>0.008310983718973871</v>
      </c>
      <c r="K7" s="1">
        <v>0.002297801224519045</v>
      </c>
      <c r="L7" s="1">
        <v>0.0027133601124312017</v>
      </c>
      <c r="M7" s="1">
        <v>0.002542945493577189</v>
      </c>
      <c r="N7" s="1">
        <v>0.001520227880352474</v>
      </c>
      <c r="O7" s="1">
        <v>0.002815900264113574</v>
      </c>
      <c r="P7" s="1">
        <v>0.0012922472870416308</v>
      </c>
      <c r="Q7" s="1">
        <v>0.003914496453437827</v>
      </c>
      <c r="R7" s="1">
        <v>0.026303337842688276</v>
      </c>
      <c r="S7" s="1">
        <v>0.01669406285732571</v>
      </c>
      <c r="T7" s="1">
        <v>0.002025449376144346</v>
      </c>
      <c r="U7" s="1">
        <v>0.0023583983475820233</v>
      </c>
      <c r="V7" s="1">
        <v>0.0038395011936913893</v>
      </c>
      <c r="W7" s="1">
        <v>0.00286858460295651</v>
      </c>
      <c r="X7" s="1">
        <v>0.001125873863037683</v>
      </c>
      <c r="Y7" s="1">
        <v>0.0034527160911675633</v>
      </c>
      <c r="Z7" s="1">
        <v>0.0019281322566576217</v>
      </c>
      <c r="AA7" s="1">
        <v>0.0024015098968288018</v>
      </c>
      <c r="AB7" s="1">
        <v>0.0028389338963170584</v>
      </c>
      <c r="AC7" s="1">
        <v>0.0027026435230516916</v>
      </c>
      <c r="AD7" s="1">
        <v>0.006064187281434899</v>
      </c>
      <c r="AE7" s="1">
        <v>0.002435140273432578</v>
      </c>
      <c r="AF7" s="1">
        <v>0.00339954261413814</v>
      </c>
      <c r="AG7" s="1">
        <v>0.14403369737786517</v>
      </c>
      <c r="AH7" s="1">
        <v>0.007013835984750687</v>
      </c>
    </row>
    <row r="8" spans="1:34" ht="21" customHeight="1">
      <c r="A8" s="3">
        <v>6</v>
      </c>
      <c r="B8" s="1" t="s">
        <v>9</v>
      </c>
      <c r="C8" s="1">
        <v>0.005377534645696913</v>
      </c>
      <c r="D8" s="1">
        <v>0.001458239777087817</v>
      </c>
      <c r="E8" s="1">
        <v>0.0010878177633469217</v>
      </c>
      <c r="F8" s="1">
        <v>0.021627518940352176</v>
      </c>
      <c r="G8" s="1">
        <v>0.003541897063572309</v>
      </c>
      <c r="H8" s="1">
        <v>1.0330465903317296</v>
      </c>
      <c r="I8" s="1">
        <v>0.004818576587834482</v>
      </c>
      <c r="J8" s="1">
        <v>0.001890776615556748</v>
      </c>
      <c r="K8" s="1">
        <v>0.0008243086719805171</v>
      </c>
      <c r="L8" s="1">
        <v>0.0011548863572915337</v>
      </c>
      <c r="M8" s="1">
        <v>0.0011424675731868082</v>
      </c>
      <c r="N8" s="1">
        <v>0.0007064863571797302</v>
      </c>
      <c r="O8" s="1">
        <v>0.0019052755822524105</v>
      </c>
      <c r="P8" s="1">
        <v>0.00279205846573511</v>
      </c>
      <c r="Q8" s="1">
        <v>0.001348232949355881</v>
      </c>
      <c r="R8" s="1">
        <v>0.01095958966810968</v>
      </c>
      <c r="S8" s="1">
        <v>0.0008220781604442286</v>
      </c>
      <c r="T8" s="1">
        <v>0.0003160620960675669</v>
      </c>
      <c r="U8" s="1">
        <v>0.0016258618923360377</v>
      </c>
      <c r="V8" s="1">
        <v>0.00017891878294256882</v>
      </c>
      <c r="W8" s="1">
        <v>0.00021634425285684556</v>
      </c>
      <c r="X8" s="1">
        <v>6.997180378971794E-05</v>
      </c>
      <c r="Y8" s="1">
        <v>0.00021433234156152016</v>
      </c>
      <c r="Z8" s="1">
        <v>0.000327875403004511</v>
      </c>
      <c r="AA8" s="1">
        <v>0.00042603544940075533</v>
      </c>
      <c r="AB8" s="1">
        <v>0.0006603134551602626</v>
      </c>
      <c r="AC8" s="1">
        <v>0.016077173983769292</v>
      </c>
      <c r="AD8" s="1">
        <v>0.0005985337616410129</v>
      </c>
      <c r="AE8" s="1">
        <v>0.0005970503818069527</v>
      </c>
      <c r="AF8" s="1">
        <v>0.001094123585947704</v>
      </c>
      <c r="AG8" s="1">
        <v>0.007817033014481275</v>
      </c>
      <c r="AH8" s="1">
        <v>0.0022854770878216507</v>
      </c>
    </row>
    <row r="9" spans="1:34" ht="21" customHeight="1">
      <c r="A9" s="3">
        <v>7</v>
      </c>
      <c r="B9" s="1" t="s">
        <v>10</v>
      </c>
      <c r="C9" s="1">
        <v>0.0015044517829008684</v>
      </c>
      <c r="D9" s="1">
        <v>0.004405589675266094</v>
      </c>
      <c r="E9" s="1">
        <v>0.00033460892905892394</v>
      </c>
      <c r="F9" s="1">
        <v>0.001012216024104253</v>
      </c>
      <c r="G9" s="1">
        <v>0.0005090863504297326</v>
      </c>
      <c r="H9" s="1">
        <v>0.00035057978315426985</v>
      </c>
      <c r="I9" s="1">
        <v>1.0116547893809023</v>
      </c>
      <c r="J9" s="1">
        <v>0.0013489538904658163</v>
      </c>
      <c r="K9" s="1">
        <v>0.0014905610602774485</v>
      </c>
      <c r="L9" s="1">
        <v>0.0005362510487560907</v>
      </c>
      <c r="M9" s="1">
        <v>0.00043033417007162116</v>
      </c>
      <c r="N9" s="1">
        <v>0.0004035435702486688</v>
      </c>
      <c r="O9" s="1">
        <v>0.0002317131801251743</v>
      </c>
      <c r="P9" s="1">
        <v>0.00023988692058554914</v>
      </c>
      <c r="Q9" s="1">
        <v>0.0003263867561427146</v>
      </c>
      <c r="R9" s="1">
        <v>0.0004873453434926235</v>
      </c>
      <c r="S9" s="1">
        <v>0.0011771234322331963</v>
      </c>
      <c r="T9" s="1">
        <v>0.001837247584560298</v>
      </c>
      <c r="U9" s="1">
        <v>0.0006409778161750234</v>
      </c>
      <c r="V9" s="1">
        <v>0.0006149869096180936</v>
      </c>
      <c r="W9" s="1">
        <v>0.00018280767213055122</v>
      </c>
      <c r="X9" s="1">
        <v>0.00011281145353650085</v>
      </c>
      <c r="Y9" s="1">
        <v>0.003037771641254609</v>
      </c>
      <c r="Z9" s="1">
        <v>0.0002760701196779198</v>
      </c>
      <c r="AA9" s="1">
        <v>0.0007462433210963821</v>
      </c>
      <c r="AB9" s="1">
        <v>0.0003918245558894612</v>
      </c>
      <c r="AC9" s="1">
        <v>0.0003615513296797763</v>
      </c>
      <c r="AD9" s="1">
        <v>0.0003857008773461053</v>
      </c>
      <c r="AE9" s="1">
        <v>0.00024324444551103718</v>
      </c>
      <c r="AF9" s="1">
        <v>0.0005173033435642773</v>
      </c>
      <c r="AG9" s="1">
        <v>0.00029991438052083834</v>
      </c>
      <c r="AH9" s="1">
        <v>0.001064941244771451</v>
      </c>
    </row>
    <row r="10" spans="1:34" ht="21" customHeight="1">
      <c r="A10" s="3">
        <v>8</v>
      </c>
      <c r="B10" s="1" t="s">
        <v>11</v>
      </c>
      <c r="C10" s="1">
        <v>0.0007915899075592799</v>
      </c>
      <c r="D10" s="1">
        <v>0.0005205497344731172</v>
      </c>
      <c r="E10" s="1">
        <v>0.0008336474285520492</v>
      </c>
      <c r="F10" s="1">
        <v>0.0007258770553947693</v>
      </c>
      <c r="G10" s="1">
        <v>0.006940500265207403</v>
      </c>
      <c r="H10" s="1">
        <v>0.0029010775526566094</v>
      </c>
      <c r="I10" s="1">
        <v>0.007661367318263487</v>
      </c>
      <c r="J10" s="1">
        <v>1.0447482741902412</v>
      </c>
      <c r="K10" s="1">
        <v>0.0051258183232264385</v>
      </c>
      <c r="L10" s="1">
        <v>0.0020581380229146603</v>
      </c>
      <c r="M10" s="1">
        <v>0.0020904781585537723</v>
      </c>
      <c r="N10" s="1">
        <v>0.002996906723586989</v>
      </c>
      <c r="O10" s="1">
        <v>0.009467799438394056</v>
      </c>
      <c r="P10" s="1">
        <v>0.0010906297263777018</v>
      </c>
      <c r="Q10" s="1">
        <v>0.003372667908917265</v>
      </c>
      <c r="R10" s="1">
        <v>0.0018305161335141222</v>
      </c>
      <c r="S10" s="1">
        <v>0.02865299232909968</v>
      </c>
      <c r="T10" s="1">
        <v>0.0016948165211658473</v>
      </c>
      <c r="U10" s="1">
        <v>0.0020850662537438562</v>
      </c>
      <c r="V10" s="1">
        <v>0.0005163967527925315</v>
      </c>
      <c r="W10" s="1">
        <v>0.0002969401426354422</v>
      </c>
      <c r="X10" s="1">
        <v>0.001259000773648717</v>
      </c>
      <c r="Y10" s="1">
        <v>0.00046553162594783305</v>
      </c>
      <c r="Z10" s="1">
        <v>0.0004735798096906068</v>
      </c>
      <c r="AA10" s="1">
        <v>0.0009012820558098326</v>
      </c>
      <c r="AB10" s="1">
        <v>0.0011519581363650857</v>
      </c>
      <c r="AC10" s="1">
        <v>0.0009091231275135217</v>
      </c>
      <c r="AD10" s="1">
        <v>0.0006980767653424806</v>
      </c>
      <c r="AE10" s="1">
        <v>0.0006770208583878484</v>
      </c>
      <c r="AF10" s="1">
        <v>0.0016926895168571346</v>
      </c>
      <c r="AG10" s="1">
        <v>0.0024460255434354617</v>
      </c>
      <c r="AH10" s="1">
        <v>0.0034513735735270854</v>
      </c>
    </row>
    <row r="11" spans="1:34" ht="21" customHeight="1">
      <c r="A11" s="3">
        <v>9</v>
      </c>
      <c r="B11" s="1" t="s">
        <v>12</v>
      </c>
      <c r="C11" s="1">
        <v>0.00015288650943193045</v>
      </c>
      <c r="D11" s="1">
        <v>0.000488355666832223</v>
      </c>
      <c r="E11" s="1">
        <v>0.00011458942944650491</v>
      </c>
      <c r="F11" s="1">
        <v>0.00012074546340414811</v>
      </c>
      <c r="G11" s="1">
        <v>0.00916701131754934</v>
      </c>
      <c r="H11" s="1">
        <v>0.00019488858180517958</v>
      </c>
      <c r="I11" s="1">
        <v>0.00018215024143512925</v>
      </c>
      <c r="J11" s="1">
        <v>0.0015919143909882965</v>
      </c>
      <c r="K11" s="1">
        <v>1.048399913231151</v>
      </c>
      <c r="L11" s="1">
        <v>0.00036958786009452836</v>
      </c>
      <c r="M11" s="1">
        <v>0.03135634785428535</v>
      </c>
      <c r="N11" s="1">
        <v>0.014320761190600172</v>
      </c>
      <c r="O11" s="1">
        <v>0.0016497857968091744</v>
      </c>
      <c r="P11" s="1">
        <v>0.020003293525875446</v>
      </c>
      <c r="Q11" s="1">
        <v>0.0026619006453030714</v>
      </c>
      <c r="R11" s="1">
        <v>0.0012598628328056721</v>
      </c>
      <c r="S11" s="1">
        <v>0.004305963515255091</v>
      </c>
      <c r="T11" s="1">
        <v>0.0002925185355766735</v>
      </c>
      <c r="U11" s="1">
        <v>0.0002532013810073499</v>
      </c>
      <c r="V11" s="1">
        <v>0.00011604915381435101</v>
      </c>
      <c r="W11" s="1">
        <v>9.021225033133981E-05</v>
      </c>
      <c r="X11" s="1">
        <v>0.0001968806430488565</v>
      </c>
      <c r="Y11" s="1">
        <v>0.00020514897331111405</v>
      </c>
      <c r="Z11" s="1">
        <v>9.995955757931265E-05</v>
      </c>
      <c r="AA11" s="1">
        <v>0.0003169064418212309</v>
      </c>
      <c r="AB11" s="1">
        <v>0.00011668973064320556</v>
      </c>
      <c r="AC11" s="1">
        <v>8.206331112741485E-05</v>
      </c>
      <c r="AD11" s="1">
        <v>0.00012410905454667784</v>
      </c>
      <c r="AE11" s="1">
        <v>0.0002586316118956852</v>
      </c>
      <c r="AF11" s="1">
        <v>0.00011777383849357512</v>
      </c>
      <c r="AG11" s="1">
        <v>0.001455133689629687</v>
      </c>
      <c r="AH11" s="1">
        <v>0.0013183025347128412</v>
      </c>
    </row>
    <row r="12" spans="1:34" ht="21" customHeight="1">
      <c r="A12" s="3">
        <v>10</v>
      </c>
      <c r="B12" s="1" t="s">
        <v>13</v>
      </c>
      <c r="C12" s="1">
        <v>2.247773544470251E-05</v>
      </c>
      <c r="D12" s="1">
        <v>5.997543103850351E-05</v>
      </c>
      <c r="E12" s="1">
        <v>0.00010113637783777596</v>
      </c>
      <c r="F12" s="1">
        <v>3.086766398583771E-05</v>
      </c>
      <c r="G12" s="1">
        <v>0.0007403490129439867</v>
      </c>
      <c r="H12" s="1">
        <v>0.00012243738514924546</v>
      </c>
      <c r="I12" s="1">
        <v>3.86163830254087E-05</v>
      </c>
      <c r="J12" s="1">
        <v>0.0005402365226579832</v>
      </c>
      <c r="K12" s="1">
        <v>0.0004300835482219188</v>
      </c>
      <c r="L12" s="1">
        <v>1.0294410229336775</v>
      </c>
      <c r="M12" s="1">
        <v>0.004381909503066213</v>
      </c>
      <c r="N12" s="1">
        <v>0.0012444163318212015</v>
      </c>
      <c r="O12" s="1">
        <v>0.002214686069025252</v>
      </c>
      <c r="P12" s="1">
        <v>0.0013406020697608648</v>
      </c>
      <c r="Q12" s="1">
        <v>0.0021503486483020005</v>
      </c>
      <c r="R12" s="1">
        <v>0.0011842433850284253</v>
      </c>
      <c r="S12" s="1">
        <v>0.0008357119175074669</v>
      </c>
      <c r="T12" s="1">
        <v>0.00010947861658671762</v>
      </c>
      <c r="U12" s="1">
        <v>6.371196422301506E-05</v>
      </c>
      <c r="V12" s="1">
        <v>2.3948305917325558E-05</v>
      </c>
      <c r="W12" s="1">
        <v>2.2422242658233208E-05</v>
      </c>
      <c r="X12" s="1">
        <v>3.859057857513502E-05</v>
      </c>
      <c r="Y12" s="1">
        <v>2.3482134978995642E-05</v>
      </c>
      <c r="Z12" s="1">
        <v>2.4513185895039834E-05</v>
      </c>
      <c r="AA12" s="1">
        <v>7.806858015921877E-05</v>
      </c>
      <c r="AB12" s="1">
        <v>3.0526360673016754E-05</v>
      </c>
      <c r="AC12" s="1">
        <v>0.00011447544834295784</v>
      </c>
      <c r="AD12" s="1">
        <v>4.5771555753455435E-05</v>
      </c>
      <c r="AE12" s="1">
        <v>5.205148777280501E-05</v>
      </c>
      <c r="AF12" s="1">
        <v>6.050981020354218E-05</v>
      </c>
      <c r="AG12" s="1">
        <v>0.0002139194902993785</v>
      </c>
      <c r="AH12" s="1">
        <v>0.0003167419594139113</v>
      </c>
    </row>
    <row r="13" spans="1:34" ht="21" customHeight="1">
      <c r="A13" s="3">
        <v>11</v>
      </c>
      <c r="B13" s="1" t="s">
        <v>14</v>
      </c>
      <c r="C13" s="1">
        <v>0.0005626619300279102</v>
      </c>
      <c r="D13" s="1">
        <v>0.006862233278209892</v>
      </c>
      <c r="E13" s="1">
        <v>0.0013041122685451265</v>
      </c>
      <c r="F13" s="1">
        <v>0.0004055022971890766</v>
      </c>
      <c r="G13" s="1">
        <v>0.010229057728352059</v>
      </c>
      <c r="H13" s="1">
        <v>0.0019321062596004421</v>
      </c>
      <c r="I13" s="1">
        <v>0.001778053128473447</v>
      </c>
      <c r="J13" s="1">
        <v>0.0026230532909933667</v>
      </c>
      <c r="K13" s="1">
        <v>0.00193213180933151</v>
      </c>
      <c r="L13" s="1">
        <v>0.0009388918648564556</v>
      </c>
      <c r="M13" s="1">
        <v>1.0125341595181712</v>
      </c>
      <c r="N13" s="1">
        <v>0.008051013594425114</v>
      </c>
      <c r="O13" s="1">
        <v>0.003690819065241298</v>
      </c>
      <c r="P13" s="1">
        <v>0.0036950686411355996</v>
      </c>
      <c r="Q13" s="1">
        <v>0.0036423071154724476</v>
      </c>
      <c r="R13" s="1">
        <v>0.002386139084710814</v>
      </c>
      <c r="S13" s="1">
        <v>0.019734124927142736</v>
      </c>
      <c r="T13" s="1">
        <v>0.0015299849075760337</v>
      </c>
      <c r="U13" s="1">
        <v>0.0009429080399855064</v>
      </c>
      <c r="V13" s="1">
        <v>0.0008816460865152441</v>
      </c>
      <c r="W13" s="1">
        <v>0.00024025227814701038</v>
      </c>
      <c r="X13" s="1">
        <v>0.0009075686998188957</v>
      </c>
      <c r="Y13" s="1">
        <v>0.0007469843220372416</v>
      </c>
      <c r="Z13" s="1">
        <v>0.0003776721357302327</v>
      </c>
      <c r="AA13" s="1">
        <v>0.0021768615016127153</v>
      </c>
      <c r="AB13" s="1">
        <v>0.0004246535861954193</v>
      </c>
      <c r="AC13" s="1">
        <v>0.00035542455799376157</v>
      </c>
      <c r="AD13" s="1">
        <v>0.0005962231142292869</v>
      </c>
      <c r="AE13" s="1">
        <v>0.0005211591246306248</v>
      </c>
      <c r="AF13" s="1">
        <v>0.0007879782402363064</v>
      </c>
      <c r="AG13" s="1">
        <v>0.0017698893960676008</v>
      </c>
      <c r="AH13" s="1">
        <v>0.0018242103682251415</v>
      </c>
    </row>
    <row r="14" spans="1:34" ht="21" customHeight="1">
      <c r="A14" s="3">
        <v>12</v>
      </c>
      <c r="B14" s="1" t="s">
        <v>15</v>
      </c>
      <c r="C14" s="1">
        <v>0.00017453743152422266</v>
      </c>
      <c r="D14" s="1">
        <v>0.002273856492535832</v>
      </c>
      <c r="E14" s="1">
        <v>0.0001798986343957055</v>
      </c>
      <c r="F14" s="1">
        <v>0.00025470216954779013</v>
      </c>
      <c r="G14" s="1">
        <v>0.0006032678304523387</v>
      </c>
      <c r="H14" s="1">
        <v>0.00043096227139289813</v>
      </c>
      <c r="I14" s="1">
        <v>0.0004165441412688765</v>
      </c>
      <c r="J14" s="1">
        <v>0.0008847935794605381</v>
      </c>
      <c r="K14" s="1">
        <v>0.0009704204637846777</v>
      </c>
      <c r="L14" s="1">
        <v>0.00045752339598788527</v>
      </c>
      <c r="M14" s="1">
        <v>0.0007718040862253508</v>
      </c>
      <c r="N14" s="1">
        <v>1.0486973212630597</v>
      </c>
      <c r="O14" s="1">
        <v>0.0014050710190999776</v>
      </c>
      <c r="P14" s="1">
        <v>0.002527809239505324</v>
      </c>
      <c r="Q14" s="1">
        <v>0.0023305024951942362</v>
      </c>
      <c r="R14" s="1">
        <v>0.0008871818917727025</v>
      </c>
      <c r="S14" s="1">
        <v>0.0018377325188578034</v>
      </c>
      <c r="T14" s="1">
        <v>0.0006106130337201635</v>
      </c>
      <c r="U14" s="1">
        <v>0.0009364129932917595</v>
      </c>
      <c r="V14" s="1">
        <v>0.000401985101972723</v>
      </c>
      <c r="W14" s="1">
        <v>0.0006095051693520096</v>
      </c>
      <c r="X14" s="1">
        <v>0.00019355949157887927</v>
      </c>
      <c r="Y14" s="1">
        <v>0.00043978634962770115</v>
      </c>
      <c r="Z14" s="1">
        <v>0.0005946440149290284</v>
      </c>
      <c r="AA14" s="1">
        <v>0.0006568794105531125</v>
      </c>
      <c r="AB14" s="1">
        <v>0.00028880715244394687</v>
      </c>
      <c r="AC14" s="1">
        <v>0.00027723029934054633</v>
      </c>
      <c r="AD14" s="1">
        <v>0.00041064650113582893</v>
      </c>
      <c r="AE14" s="1">
        <v>0.005057748412676319</v>
      </c>
      <c r="AF14" s="1">
        <v>0.0003260305936211647</v>
      </c>
      <c r="AG14" s="1">
        <v>0.009667662992004566</v>
      </c>
      <c r="AH14" s="1">
        <v>0.000549589935541337</v>
      </c>
    </row>
    <row r="15" spans="1:34" ht="21" customHeight="1">
      <c r="A15" s="3">
        <v>13</v>
      </c>
      <c r="B15" s="1" t="s">
        <v>16</v>
      </c>
      <c r="C15" s="1">
        <v>0.0002720801350753485</v>
      </c>
      <c r="D15" s="1">
        <v>0.00068750234419489</v>
      </c>
      <c r="E15" s="1">
        <v>0.00016199098842782357</v>
      </c>
      <c r="F15" s="1">
        <v>0.00021219469045167743</v>
      </c>
      <c r="G15" s="1">
        <v>0.0003312545848393696</v>
      </c>
      <c r="H15" s="1">
        <v>0.0004019575709654395</v>
      </c>
      <c r="I15" s="1">
        <v>0.00029818596946321654</v>
      </c>
      <c r="J15" s="1">
        <v>0.0003147294216899024</v>
      </c>
      <c r="K15" s="1">
        <v>0.00025915278257142977</v>
      </c>
      <c r="L15" s="1">
        <v>0.0002695365667756496</v>
      </c>
      <c r="M15" s="1">
        <v>0.0013908376824222966</v>
      </c>
      <c r="N15" s="1">
        <v>0.008869320566929342</v>
      </c>
      <c r="O15" s="1">
        <v>1.0962943768492697</v>
      </c>
      <c r="P15" s="1">
        <v>0.004839972224748166</v>
      </c>
      <c r="Q15" s="1">
        <v>0.019047662766328587</v>
      </c>
      <c r="R15" s="1">
        <v>0.001638536223665435</v>
      </c>
      <c r="S15" s="1">
        <v>0.002664827966336473</v>
      </c>
      <c r="T15" s="1">
        <v>0.0005075323678488674</v>
      </c>
      <c r="U15" s="1">
        <v>0.00036046324306595944</v>
      </c>
      <c r="V15" s="1">
        <v>0.0003903134421176067</v>
      </c>
      <c r="W15" s="1">
        <v>0.000487373185904495</v>
      </c>
      <c r="X15" s="1">
        <v>0.00020670684690518216</v>
      </c>
      <c r="Y15" s="1">
        <v>0.00036901196032580584</v>
      </c>
      <c r="Z15" s="1">
        <v>0.0008369522177496608</v>
      </c>
      <c r="AA15" s="1">
        <v>0.003452144164903263</v>
      </c>
      <c r="AB15" s="1">
        <v>0.000561971721280224</v>
      </c>
      <c r="AC15" s="1">
        <v>0.00023226801195787896</v>
      </c>
      <c r="AD15" s="1">
        <v>0.00033232522038224627</v>
      </c>
      <c r="AE15" s="1">
        <v>0.0037267144681680836</v>
      </c>
      <c r="AF15" s="1">
        <v>0.00031448238732871537</v>
      </c>
      <c r="AG15" s="1">
        <v>0.002579927241795548</v>
      </c>
      <c r="AH15" s="1">
        <v>0.0015631278457757442</v>
      </c>
    </row>
    <row r="16" spans="1:34" ht="21" customHeight="1">
      <c r="A16" s="3">
        <v>14</v>
      </c>
      <c r="B16" s="1" t="s">
        <v>17</v>
      </c>
      <c r="C16" s="1">
        <v>0.002101718228664108</v>
      </c>
      <c r="D16" s="1">
        <v>0.0008292650693146184</v>
      </c>
      <c r="E16" s="1">
        <v>0.0002895792345251344</v>
      </c>
      <c r="F16" s="1">
        <v>0.0002555972902838291</v>
      </c>
      <c r="G16" s="1">
        <v>0.0003248924761589371</v>
      </c>
      <c r="H16" s="1">
        <v>0.00042198164285787325</v>
      </c>
      <c r="I16" s="1">
        <v>0.0003638656160580609</v>
      </c>
      <c r="J16" s="1">
        <v>0.0003724189786103927</v>
      </c>
      <c r="K16" s="1">
        <v>0.0002815149067297888</v>
      </c>
      <c r="L16" s="1">
        <v>0.0002207351471566022</v>
      </c>
      <c r="M16" s="1">
        <v>0.00028093460930229107</v>
      </c>
      <c r="N16" s="1">
        <v>0.0002995612161332593</v>
      </c>
      <c r="O16" s="1">
        <v>0.000286774343394861</v>
      </c>
      <c r="P16" s="1">
        <v>1.0508145965400106</v>
      </c>
      <c r="Q16" s="1">
        <v>0.00025519119722197626</v>
      </c>
      <c r="R16" s="1">
        <v>0.0002689291567647255</v>
      </c>
      <c r="S16" s="1">
        <v>0.0004264534006537513</v>
      </c>
      <c r="T16" s="1">
        <v>0.0005027241926374129</v>
      </c>
      <c r="U16" s="1">
        <v>0.0003367964406705266</v>
      </c>
      <c r="V16" s="1">
        <v>0.0003769970819249384</v>
      </c>
      <c r="W16" s="1">
        <v>0.0005900253730223802</v>
      </c>
      <c r="X16" s="1">
        <v>0.0001362848638467146</v>
      </c>
      <c r="Y16" s="1">
        <v>0.001491296697434307</v>
      </c>
      <c r="Z16" s="1">
        <v>0.0005813961818911228</v>
      </c>
      <c r="AA16" s="1">
        <v>0.00609011347763733</v>
      </c>
      <c r="AB16" s="1">
        <v>0.0002357239304386583</v>
      </c>
      <c r="AC16" s="1">
        <v>0.00025444194095136516</v>
      </c>
      <c r="AD16" s="1">
        <v>0.00037639372195308145</v>
      </c>
      <c r="AE16" s="1">
        <v>0.005223264671463804</v>
      </c>
      <c r="AF16" s="1">
        <v>0.0002803499528829162</v>
      </c>
      <c r="AG16" s="1">
        <v>0.00017118508893904297</v>
      </c>
      <c r="AH16" s="1">
        <v>0.00146905012757597</v>
      </c>
    </row>
    <row r="17" spans="1:34" ht="21" customHeight="1">
      <c r="A17" s="3">
        <v>15</v>
      </c>
      <c r="B17" s="1" t="s">
        <v>18</v>
      </c>
      <c r="C17" s="1">
        <v>4.0220291236270116E-06</v>
      </c>
      <c r="D17" s="1">
        <v>4.785396566693591E-06</v>
      </c>
      <c r="E17" s="1">
        <v>2.1853336121918407E-06</v>
      </c>
      <c r="F17" s="1">
        <v>2.9527572687364815E-06</v>
      </c>
      <c r="G17" s="1">
        <v>3.5920074496402683E-06</v>
      </c>
      <c r="H17" s="1">
        <v>3.348303650280826E-06</v>
      </c>
      <c r="I17" s="1">
        <v>3.1096211894736066E-06</v>
      </c>
      <c r="J17" s="1">
        <v>4.715011137947181E-06</v>
      </c>
      <c r="K17" s="1">
        <v>2.5196736131364177E-06</v>
      </c>
      <c r="L17" s="1">
        <v>2.3223959941408976E-06</v>
      </c>
      <c r="M17" s="1">
        <v>2.9586782557282126E-06</v>
      </c>
      <c r="N17" s="1">
        <v>0.00016482907869051162</v>
      </c>
      <c r="O17" s="1">
        <v>1.971686479537739E-05</v>
      </c>
      <c r="P17" s="1">
        <v>1.4151131671815368E-05</v>
      </c>
      <c r="Q17" s="1">
        <v>1.0027832047713392</v>
      </c>
      <c r="R17" s="1">
        <v>1.5039327638809928E-05</v>
      </c>
      <c r="S17" s="1">
        <v>5.25500230077306E-06</v>
      </c>
      <c r="T17" s="1">
        <v>2.336904853890671E-06</v>
      </c>
      <c r="U17" s="1">
        <v>3.980062748638724E-06</v>
      </c>
      <c r="V17" s="1">
        <v>3.5383424670932896E-05</v>
      </c>
      <c r="W17" s="1">
        <v>3.703585937164598E-06</v>
      </c>
      <c r="X17" s="1">
        <v>8.13965898432573E-07</v>
      </c>
      <c r="Y17" s="1">
        <v>2.622285520881506E-06</v>
      </c>
      <c r="Z17" s="1">
        <v>3.56917320683438E-06</v>
      </c>
      <c r="AA17" s="1">
        <v>2.7853453568847973E-05</v>
      </c>
      <c r="AB17" s="1">
        <v>1.649942013264441E-06</v>
      </c>
      <c r="AC17" s="1">
        <v>0.00017129542399503534</v>
      </c>
      <c r="AD17" s="1">
        <v>2.592240700080907E-06</v>
      </c>
      <c r="AE17" s="1">
        <v>1.7588857626813992E-05</v>
      </c>
      <c r="AF17" s="1">
        <v>9.534124439902365E-06</v>
      </c>
      <c r="AG17" s="1">
        <v>7.894992606099878E-06</v>
      </c>
      <c r="AH17" s="1">
        <v>7.210185167621135E-06</v>
      </c>
    </row>
    <row r="18" spans="1:34" ht="21" customHeight="1">
      <c r="A18" s="3">
        <v>16</v>
      </c>
      <c r="B18" s="1" t="s">
        <v>19</v>
      </c>
      <c r="C18" s="1">
        <v>0.004506331573976914</v>
      </c>
      <c r="D18" s="1">
        <v>0.0076551350620378605</v>
      </c>
      <c r="E18" s="1">
        <v>0.0047382381144333505</v>
      </c>
      <c r="F18" s="1">
        <v>0.006322212795148005</v>
      </c>
      <c r="G18" s="1">
        <v>0.010817753074419343</v>
      </c>
      <c r="H18" s="1">
        <v>0.008150778683355248</v>
      </c>
      <c r="I18" s="1">
        <v>0.005509360160970535</v>
      </c>
      <c r="J18" s="1">
        <v>0.0085909652065613</v>
      </c>
      <c r="K18" s="1">
        <v>0.009820233185969963</v>
      </c>
      <c r="L18" s="1">
        <v>0.0169258246898982</v>
      </c>
      <c r="M18" s="1">
        <v>0.004684531183318898</v>
      </c>
      <c r="N18" s="1">
        <v>0.009477493007765502</v>
      </c>
      <c r="O18" s="1">
        <v>0.010792808212262615</v>
      </c>
      <c r="P18" s="1">
        <v>0.008082046482599704</v>
      </c>
      <c r="Q18" s="1">
        <v>0.012280729563103544</v>
      </c>
      <c r="R18" s="1">
        <v>1.0446340389133095</v>
      </c>
      <c r="S18" s="1">
        <v>0.0077149193934478244</v>
      </c>
      <c r="T18" s="1">
        <v>0.006334164815071266</v>
      </c>
      <c r="U18" s="1">
        <v>0.010444616344164801</v>
      </c>
      <c r="V18" s="1">
        <v>0.005247056951316</v>
      </c>
      <c r="W18" s="1">
        <v>0.008440131726812159</v>
      </c>
      <c r="X18" s="1">
        <v>0.001091590962587536</v>
      </c>
      <c r="Y18" s="1">
        <v>0.003395425171938958</v>
      </c>
      <c r="Z18" s="1">
        <v>0.00549938353509351</v>
      </c>
      <c r="AA18" s="1">
        <v>0.013174859575058371</v>
      </c>
      <c r="AB18" s="1">
        <v>0.010076425314633463</v>
      </c>
      <c r="AC18" s="1">
        <v>0.004018355442254541</v>
      </c>
      <c r="AD18" s="1">
        <v>0.019488835619835457</v>
      </c>
      <c r="AE18" s="1">
        <v>0.010743065334050849</v>
      </c>
      <c r="AF18" s="1">
        <v>0.0050378043704125885</v>
      </c>
      <c r="AG18" s="1">
        <v>0.041866871341041334</v>
      </c>
      <c r="AH18" s="1">
        <v>0.010531306476901538</v>
      </c>
    </row>
    <row r="19" spans="1:34" ht="21" customHeight="1">
      <c r="A19" s="3">
        <v>17</v>
      </c>
      <c r="B19" s="1" t="s">
        <v>20</v>
      </c>
      <c r="C19" s="1">
        <v>0.005571152582075464</v>
      </c>
      <c r="D19" s="1">
        <v>0.010602580408635542</v>
      </c>
      <c r="E19" s="1">
        <v>0.0026380955443556895</v>
      </c>
      <c r="F19" s="1">
        <v>0.006714481816923156</v>
      </c>
      <c r="G19" s="1">
        <v>0.008107726277130151</v>
      </c>
      <c r="H19" s="1">
        <v>0.013575341451304295</v>
      </c>
      <c r="I19" s="1">
        <v>0.02014129459158631</v>
      </c>
      <c r="J19" s="1">
        <v>0.015890957536555974</v>
      </c>
      <c r="K19" s="1">
        <v>0.014557289619227714</v>
      </c>
      <c r="L19" s="1">
        <v>0.008948120886710069</v>
      </c>
      <c r="M19" s="1">
        <v>0.012691748179982478</v>
      </c>
      <c r="N19" s="1">
        <v>0.0068211147302680705</v>
      </c>
      <c r="O19" s="1">
        <v>0.0066233141294647045</v>
      </c>
      <c r="P19" s="1">
        <v>0.004415429617014287</v>
      </c>
      <c r="Q19" s="1">
        <v>0.006068315433341401</v>
      </c>
      <c r="R19" s="1">
        <v>0.00567191696301838</v>
      </c>
      <c r="S19" s="1">
        <v>1.0051979844582102</v>
      </c>
      <c r="T19" s="1">
        <v>0.05457098069364294</v>
      </c>
      <c r="U19" s="1">
        <v>0.034844196634376934</v>
      </c>
      <c r="V19" s="1">
        <v>0.008545220857776873</v>
      </c>
      <c r="W19" s="1">
        <v>0.005954945004919633</v>
      </c>
      <c r="X19" s="1">
        <v>0.04251885763634575</v>
      </c>
      <c r="Y19" s="1">
        <v>0.010438978956889836</v>
      </c>
      <c r="Z19" s="1">
        <v>0.0107640124676961</v>
      </c>
      <c r="AA19" s="1">
        <v>0.02224403748824124</v>
      </c>
      <c r="AB19" s="1">
        <v>0.016426537048546866</v>
      </c>
      <c r="AC19" s="1">
        <v>0.008068188847509067</v>
      </c>
      <c r="AD19" s="1">
        <v>0.00407623441394691</v>
      </c>
      <c r="AE19" s="1">
        <v>0.004479045250539478</v>
      </c>
      <c r="AF19" s="1">
        <v>0.00973456436504561</v>
      </c>
      <c r="AG19" s="1">
        <v>0.003154720289238203</v>
      </c>
      <c r="AH19" s="1">
        <v>0.007125093091367614</v>
      </c>
    </row>
    <row r="20" spans="1:34" ht="21" customHeight="1">
      <c r="A20" s="3">
        <v>18</v>
      </c>
      <c r="B20" s="1" t="s">
        <v>21</v>
      </c>
      <c r="C20" s="1">
        <v>0.0032386554516885433</v>
      </c>
      <c r="D20" s="1">
        <v>0.011673510080072122</v>
      </c>
      <c r="E20" s="1">
        <v>0.00423172258089886</v>
      </c>
      <c r="F20" s="1">
        <v>0.015902191040580094</v>
      </c>
      <c r="G20" s="1">
        <v>0.014172721694322127</v>
      </c>
      <c r="H20" s="1">
        <v>0.016675980631320572</v>
      </c>
      <c r="I20" s="1">
        <v>0.016870718766030822</v>
      </c>
      <c r="J20" s="1">
        <v>0.010400901996344839</v>
      </c>
      <c r="K20" s="1">
        <v>0.02903630330795326</v>
      </c>
      <c r="L20" s="1">
        <v>0.01375342275082554</v>
      </c>
      <c r="M20" s="1">
        <v>0.011837544961839086</v>
      </c>
      <c r="N20" s="1">
        <v>0.007115728761294594</v>
      </c>
      <c r="O20" s="1">
        <v>0.00818032728971272</v>
      </c>
      <c r="P20" s="1">
        <v>0.006114603589818928</v>
      </c>
      <c r="Q20" s="1">
        <v>0.0056942194989723595</v>
      </c>
      <c r="R20" s="1">
        <v>0.009058637398230459</v>
      </c>
      <c r="S20" s="1">
        <v>0.0040421173783184265</v>
      </c>
      <c r="T20" s="1">
        <v>1.0191529730438798</v>
      </c>
      <c r="U20" s="1">
        <v>0.024606420505267273</v>
      </c>
      <c r="V20" s="1">
        <v>0.006219675834193137</v>
      </c>
      <c r="W20" s="1">
        <v>0.002607017948169771</v>
      </c>
      <c r="X20" s="1">
        <v>0.001605712546957725</v>
      </c>
      <c r="Y20" s="1">
        <v>0.006917801031804252</v>
      </c>
      <c r="Z20" s="1">
        <v>0.006079971174063018</v>
      </c>
      <c r="AA20" s="1">
        <v>0.009133567129963893</v>
      </c>
      <c r="AB20" s="1">
        <v>0.0117260981750737</v>
      </c>
      <c r="AC20" s="1">
        <v>0.009434252668160163</v>
      </c>
      <c r="AD20" s="1">
        <v>0.002923416146500311</v>
      </c>
      <c r="AE20" s="1">
        <v>0.0033485058140709707</v>
      </c>
      <c r="AF20" s="1">
        <v>0.01340831000000649</v>
      </c>
      <c r="AG20" s="1">
        <v>0.0036945798653157543</v>
      </c>
      <c r="AH20" s="1">
        <v>0.005312766235222576</v>
      </c>
    </row>
    <row r="21" spans="1:34" ht="21" customHeight="1">
      <c r="A21" s="3">
        <v>19</v>
      </c>
      <c r="B21" s="1" t="s">
        <v>22</v>
      </c>
      <c r="C21" s="1">
        <v>0.0008772223232608625</v>
      </c>
      <c r="D21" s="1">
        <v>0.005271985722299041</v>
      </c>
      <c r="E21" s="1">
        <v>0.002343905422684846</v>
      </c>
      <c r="F21" s="1">
        <v>0.009235836324063839</v>
      </c>
      <c r="G21" s="1">
        <v>0.0026938001875240225</v>
      </c>
      <c r="H21" s="1">
        <v>0.010171229526248764</v>
      </c>
      <c r="I21" s="1">
        <v>0.002286642958245717</v>
      </c>
      <c r="J21" s="1">
        <v>0.005843575278913739</v>
      </c>
      <c r="K21" s="1">
        <v>0.0033953220250076297</v>
      </c>
      <c r="L21" s="1">
        <v>0.002291661779367912</v>
      </c>
      <c r="M21" s="1">
        <v>0.002153298605488625</v>
      </c>
      <c r="N21" s="1">
        <v>0.003320511885810287</v>
      </c>
      <c r="O21" s="1">
        <v>0.003007422323670391</v>
      </c>
      <c r="P21" s="1">
        <v>0.0015798546630369614</v>
      </c>
      <c r="Q21" s="1">
        <v>0.003265942973224693</v>
      </c>
      <c r="R21" s="1">
        <v>0.0024555444924196286</v>
      </c>
      <c r="S21" s="1">
        <v>0.0027959131795489197</v>
      </c>
      <c r="T21" s="1">
        <v>0.005955069477369561</v>
      </c>
      <c r="U21" s="1">
        <v>1.0638953812332652</v>
      </c>
      <c r="V21" s="1">
        <v>0.003170944812277354</v>
      </c>
      <c r="W21" s="1">
        <v>0.002612500318536453</v>
      </c>
      <c r="X21" s="1">
        <v>0.0006697648153093605</v>
      </c>
      <c r="Y21" s="1">
        <v>0.004443346423156176</v>
      </c>
      <c r="Z21" s="1">
        <v>0.0062134004719203995</v>
      </c>
      <c r="AA21" s="1">
        <v>0.017741043532695677</v>
      </c>
      <c r="AB21" s="1">
        <v>0.0090347262304671</v>
      </c>
      <c r="AC21" s="1">
        <v>0.008785496265348077</v>
      </c>
      <c r="AD21" s="1">
        <v>0.002983427362337003</v>
      </c>
      <c r="AE21" s="1">
        <v>0.0014313346757740112</v>
      </c>
      <c r="AF21" s="1">
        <v>0.020245643480836944</v>
      </c>
      <c r="AG21" s="1">
        <v>0.001233454977869615</v>
      </c>
      <c r="AH21" s="1">
        <v>0.013974864611061195</v>
      </c>
    </row>
    <row r="22" spans="1:34" ht="21" customHeight="1">
      <c r="A22" s="3">
        <v>20</v>
      </c>
      <c r="B22" s="1" t="s">
        <v>23</v>
      </c>
      <c r="C22" s="1">
        <v>0.029288344731484287</v>
      </c>
      <c r="D22" s="1">
        <v>0.03478460619493606</v>
      </c>
      <c r="E22" s="1">
        <v>0.03531057145524476</v>
      </c>
      <c r="F22" s="1">
        <v>0.0404289098927686</v>
      </c>
      <c r="G22" s="1">
        <v>0.05156204514808681</v>
      </c>
      <c r="H22" s="1">
        <v>0.03640870194879607</v>
      </c>
      <c r="I22" s="1">
        <v>0.053859221144551286</v>
      </c>
      <c r="J22" s="1">
        <v>0.04018115277536389</v>
      </c>
      <c r="K22" s="1">
        <v>0.03621615038975195</v>
      </c>
      <c r="L22" s="1">
        <v>0.03541491565629506</v>
      </c>
      <c r="M22" s="1">
        <v>0.03286002274739715</v>
      </c>
      <c r="N22" s="1">
        <v>0.03907432707263541</v>
      </c>
      <c r="O22" s="1">
        <v>0.03624138522437562</v>
      </c>
      <c r="P22" s="1">
        <v>0.033576832890271094</v>
      </c>
      <c r="Q22" s="1">
        <v>0.038880872815224295</v>
      </c>
      <c r="R22" s="1">
        <v>0.0360170617219285</v>
      </c>
      <c r="S22" s="1">
        <v>0.04225212217829264</v>
      </c>
      <c r="T22" s="1">
        <v>0.01289457342173498</v>
      </c>
      <c r="U22" s="1">
        <v>0.013283486794355101</v>
      </c>
      <c r="V22" s="1">
        <v>1.0130370590162534</v>
      </c>
      <c r="W22" s="1">
        <v>0.00708518650465413</v>
      </c>
      <c r="X22" s="1">
        <v>0.0031133728122629796</v>
      </c>
      <c r="Y22" s="1">
        <v>0.014469317166085691</v>
      </c>
      <c r="Z22" s="1">
        <v>0.008289950698890216</v>
      </c>
      <c r="AA22" s="1">
        <v>0.01557997444801768</v>
      </c>
      <c r="AB22" s="1">
        <v>0.011776889712877572</v>
      </c>
      <c r="AC22" s="1">
        <v>0.03592324667913456</v>
      </c>
      <c r="AD22" s="1">
        <v>0.019863669176361603</v>
      </c>
      <c r="AE22" s="1">
        <v>0.017862184531371648</v>
      </c>
      <c r="AF22" s="1">
        <v>0.040152488280206594</v>
      </c>
      <c r="AG22" s="1">
        <v>0.15792173377629296</v>
      </c>
      <c r="AH22" s="1">
        <v>0.020288331237103812</v>
      </c>
    </row>
    <row r="23" spans="1:34" ht="21" customHeight="1">
      <c r="A23" s="3">
        <v>21</v>
      </c>
      <c r="B23" s="1" t="s">
        <v>24</v>
      </c>
      <c r="C23" s="1">
        <v>0.03986900210496708</v>
      </c>
      <c r="D23" s="1">
        <v>0.09238922905483385</v>
      </c>
      <c r="E23" s="1">
        <v>0.01402920313628982</v>
      </c>
      <c r="F23" s="1">
        <v>0.04799277727718713</v>
      </c>
      <c r="G23" s="1">
        <v>0.029211860851719354</v>
      </c>
      <c r="H23" s="1">
        <v>0.02696771205647525</v>
      </c>
      <c r="I23" s="1">
        <v>0.021092358613478017</v>
      </c>
      <c r="J23" s="1">
        <v>0.04541804314150474</v>
      </c>
      <c r="K23" s="1">
        <v>0.025317532990184178</v>
      </c>
      <c r="L23" s="1">
        <v>0.019673686144784177</v>
      </c>
      <c r="M23" s="1">
        <v>0.027409187393358077</v>
      </c>
      <c r="N23" s="1">
        <v>0.0231830923570237</v>
      </c>
      <c r="O23" s="1">
        <v>0.017103527098541665</v>
      </c>
      <c r="P23" s="1">
        <v>0.012046214023632611</v>
      </c>
      <c r="Q23" s="1">
        <v>0.02521857402199011</v>
      </c>
      <c r="R23" s="1">
        <v>0.024216199108890547</v>
      </c>
      <c r="S23" s="1">
        <v>0.02337988635350676</v>
      </c>
      <c r="T23" s="1">
        <v>0.047305912994690405</v>
      </c>
      <c r="U23" s="1">
        <v>0.020814782916460658</v>
      </c>
      <c r="V23" s="1">
        <v>0.05539324273616219</v>
      </c>
      <c r="W23" s="1">
        <v>1.078179590662726</v>
      </c>
      <c r="X23" s="1">
        <v>0.050589130716193385</v>
      </c>
      <c r="Y23" s="1">
        <v>0.045698946165251324</v>
      </c>
      <c r="Z23" s="1">
        <v>0.036823615231909045</v>
      </c>
      <c r="AA23" s="1">
        <v>0.013027866279738546</v>
      </c>
      <c r="AB23" s="1">
        <v>0.011914682190508246</v>
      </c>
      <c r="AC23" s="1">
        <v>0.019730700242811688</v>
      </c>
      <c r="AD23" s="1">
        <v>0.021799832159078315</v>
      </c>
      <c r="AE23" s="1">
        <v>0.054126174095703534</v>
      </c>
      <c r="AF23" s="1">
        <v>0.037646642409001875</v>
      </c>
      <c r="AG23" s="1">
        <v>0.015339813592749836</v>
      </c>
      <c r="AH23" s="1">
        <v>0.22387206293536127</v>
      </c>
    </row>
    <row r="24" spans="1:34" ht="21" customHeight="1">
      <c r="A24" s="3">
        <v>22</v>
      </c>
      <c r="B24" s="1" t="s">
        <v>25</v>
      </c>
      <c r="C24" s="1">
        <v>0.002736633061686742</v>
      </c>
      <c r="D24" s="1">
        <v>0.01352408362661037</v>
      </c>
      <c r="E24" s="1">
        <v>0.003297549308150857</v>
      </c>
      <c r="F24" s="1">
        <v>0.007646048320645844</v>
      </c>
      <c r="G24" s="1">
        <v>0.00835149416912729</v>
      </c>
      <c r="H24" s="1">
        <v>0.01042308996995289</v>
      </c>
      <c r="I24" s="1">
        <v>0.008332380297525028</v>
      </c>
      <c r="J24" s="1">
        <v>0.009646068589403858</v>
      </c>
      <c r="K24" s="1">
        <v>0.0077267688169914165</v>
      </c>
      <c r="L24" s="1">
        <v>0.005964142145949847</v>
      </c>
      <c r="M24" s="1">
        <v>0.008532441513840326</v>
      </c>
      <c r="N24" s="1">
        <v>0.0064457637822541245</v>
      </c>
      <c r="O24" s="1">
        <v>0.0051698928483343174</v>
      </c>
      <c r="P24" s="1">
        <v>0.0034164618681430297</v>
      </c>
      <c r="Q24" s="1">
        <v>0.006108314666905934</v>
      </c>
      <c r="R24" s="1">
        <v>0.007304310425775932</v>
      </c>
      <c r="S24" s="1">
        <v>0.006760449898317644</v>
      </c>
      <c r="T24" s="1">
        <v>0.012610602324871406</v>
      </c>
      <c r="U24" s="1">
        <v>0.005646408413145345</v>
      </c>
      <c r="V24" s="1">
        <v>0.03054340221059864</v>
      </c>
      <c r="W24" s="1">
        <v>0.018880339839149836</v>
      </c>
      <c r="X24" s="1">
        <v>1.007063255236988</v>
      </c>
      <c r="Y24" s="1">
        <v>0.01462637818453895</v>
      </c>
      <c r="Z24" s="1">
        <v>0.022263259486246176</v>
      </c>
      <c r="AA24" s="1">
        <v>0.0043358790020037825</v>
      </c>
      <c r="AB24" s="1">
        <v>0.010628506905438992</v>
      </c>
      <c r="AC24" s="1">
        <v>0.009588800088692647</v>
      </c>
      <c r="AD24" s="1">
        <v>0.025058743328239725</v>
      </c>
      <c r="AE24" s="1">
        <v>0.011863405540660291</v>
      </c>
      <c r="AF24" s="1">
        <v>0.02023448199354882</v>
      </c>
      <c r="AG24" s="1">
        <v>0.006588589678329422</v>
      </c>
      <c r="AH24" s="1">
        <v>0.018349154213380438</v>
      </c>
    </row>
    <row r="25" spans="1:34" ht="21" customHeight="1">
      <c r="A25" s="3">
        <v>23</v>
      </c>
      <c r="B25" s="1" t="s">
        <v>26</v>
      </c>
      <c r="C25" s="1">
        <v>0.017373348760513656</v>
      </c>
      <c r="D25" s="1">
        <v>0.03202653737914109</v>
      </c>
      <c r="E25" s="1">
        <v>0.019264859232350207</v>
      </c>
      <c r="F25" s="1">
        <v>0.01947751068370038</v>
      </c>
      <c r="G25" s="1">
        <v>0.029628405960442052</v>
      </c>
      <c r="H25" s="1">
        <v>0.022861132778884435</v>
      </c>
      <c r="I25" s="1">
        <v>0.054415549051952145</v>
      </c>
      <c r="J25" s="1">
        <v>0.05295842036209571</v>
      </c>
      <c r="K25" s="1">
        <v>0.027796160902517415</v>
      </c>
      <c r="L25" s="1">
        <v>0.01946170662649577</v>
      </c>
      <c r="M25" s="1">
        <v>0.02153967587358122</v>
      </c>
      <c r="N25" s="1">
        <v>0.015001714358519897</v>
      </c>
      <c r="O25" s="1">
        <v>0.014801872298514028</v>
      </c>
      <c r="P25" s="1">
        <v>0.017108697384600784</v>
      </c>
      <c r="Q25" s="1">
        <v>0.013501300159859975</v>
      </c>
      <c r="R25" s="1">
        <v>0.022204190076636144</v>
      </c>
      <c r="S25" s="1">
        <v>0.0267405400363583</v>
      </c>
      <c r="T25" s="1">
        <v>0.01762598640233618</v>
      </c>
      <c r="U25" s="1">
        <v>0.017903809746724224</v>
      </c>
      <c r="V25" s="1">
        <v>0.018603508689386195</v>
      </c>
      <c r="W25" s="1">
        <v>0.015064361130056117</v>
      </c>
      <c r="X25" s="1">
        <v>0.0026101712777529882</v>
      </c>
      <c r="Y25" s="1">
        <v>1.0648183654674146</v>
      </c>
      <c r="Z25" s="1">
        <v>0.01782244628322062</v>
      </c>
      <c r="AA25" s="1">
        <v>0.025174780209368936</v>
      </c>
      <c r="AB25" s="1">
        <v>0.009590610590195984</v>
      </c>
      <c r="AC25" s="1">
        <v>0.011478275719871972</v>
      </c>
      <c r="AD25" s="1">
        <v>0.016582803242146924</v>
      </c>
      <c r="AE25" s="1">
        <v>0.009277310520218617</v>
      </c>
      <c r="AF25" s="1">
        <v>0.020067333291982428</v>
      </c>
      <c r="AG25" s="1">
        <v>0.04663909777940111</v>
      </c>
      <c r="AH25" s="1">
        <v>0.0285448701877248</v>
      </c>
    </row>
    <row r="26" spans="1:34" ht="21" customHeight="1">
      <c r="A26" s="3">
        <v>24</v>
      </c>
      <c r="B26" s="1" t="s">
        <v>27</v>
      </c>
      <c r="C26" s="1">
        <v>0.0037354223555219664</v>
      </c>
      <c r="D26" s="1">
        <v>0.01051502289187055</v>
      </c>
      <c r="E26" s="1">
        <v>0.003236090985768488</v>
      </c>
      <c r="F26" s="1">
        <v>0.0076256196311087045</v>
      </c>
      <c r="G26" s="1">
        <v>0.006595752646228969</v>
      </c>
      <c r="H26" s="1">
        <v>0.018137683008452324</v>
      </c>
      <c r="I26" s="1">
        <v>0.007046865375052422</v>
      </c>
      <c r="J26" s="1">
        <v>0.006811008616005739</v>
      </c>
      <c r="K26" s="1">
        <v>0.005929237499032922</v>
      </c>
      <c r="L26" s="1">
        <v>0.009085279187220881</v>
      </c>
      <c r="M26" s="1">
        <v>0.008872790216652103</v>
      </c>
      <c r="N26" s="1">
        <v>0.007229373548124276</v>
      </c>
      <c r="O26" s="1">
        <v>0.006224904015927679</v>
      </c>
      <c r="P26" s="1">
        <v>0.004184200371732893</v>
      </c>
      <c r="Q26" s="1">
        <v>0.007109243034169906</v>
      </c>
      <c r="R26" s="1">
        <v>0.00788303616052826</v>
      </c>
      <c r="S26" s="1">
        <v>0.013690107333534051</v>
      </c>
      <c r="T26" s="1">
        <v>0.007544448684522151</v>
      </c>
      <c r="U26" s="1">
        <v>0.010189128462459056</v>
      </c>
      <c r="V26" s="1">
        <v>0.024231250568250734</v>
      </c>
      <c r="W26" s="1">
        <v>0.02255895665399731</v>
      </c>
      <c r="X26" s="1">
        <v>0.0032498004321271086</v>
      </c>
      <c r="Y26" s="1">
        <v>0.011873282225367439</v>
      </c>
      <c r="Z26" s="1">
        <v>1.1267070393745857</v>
      </c>
      <c r="AA26" s="1">
        <v>0.019927330063699573</v>
      </c>
      <c r="AB26" s="1">
        <v>0.01098744392417924</v>
      </c>
      <c r="AC26" s="1">
        <v>0.007710754671582373</v>
      </c>
      <c r="AD26" s="1">
        <v>0.024044999631301404</v>
      </c>
      <c r="AE26" s="1">
        <v>0.022911140839445378</v>
      </c>
      <c r="AF26" s="1">
        <v>0.0140396794444361</v>
      </c>
      <c r="AG26" s="1">
        <v>0.005408061646076192</v>
      </c>
      <c r="AH26" s="1">
        <v>0.03340999183379598</v>
      </c>
    </row>
    <row r="27" spans="1:34" ht="21" customHeight="1">
      <c r="A27" s="3">
        <v>25</v>
      </c>
      <c r="B27" s="1" t="s">
        <v>28</v>
      </c>
      <c r="C27" s="1">
        <v>0.0009290518326177318</v>
      </c>
      <c r="D27" s="1">
        <v>0.0023984313041058446</v>
      </c>
      <c r="E27" s="1">
        <v>0.0014823463619516302</v>
      </c>
      <c r="F27" s="1">
        <v>0.001310648328505448</v>
      </c>
      <c r="G27" s="1">
        <v>0.0011617620974196054</v>
      </c>
      <c r="H27" s="1">
        <v>0.0014799351366633709</v>
      </c>
      <c r="I27" s="1">
        <v>0.0015493840664734008</v>
      </c>
      <c r="J27" s="1">
        <v>0.0007424779325254765</v>
      </c>
      <c r="K27" s="1">
        <v>0.002175149875626258</v>
      </c>
      <c r="L27" s="1">
        <v>0.0008504657724968255</v>
      </c>
      <c r="M27" s="1">
        <v>0.0018806681781684583</v>
      </c>
      <c r="N27" s="1">
        <v>0.0014192451096975312</v>
      </c>
      <c r="O27" s="1">
        <v>0.0010486672373573116</v>
      </c>
      <c r="P27" s="1">
        <v>0.0005424469396562865</v>
      </c>
      <c r="Q27" s="1">
        <v>0.0008301493146067872</v>
      </c>
      <c r="R27" s="1">
        <v>0.00102610372344875</v>
      </c>
      <c r="S27" s="1">
        <v>0.0007520448016629877</v>
      </c>
      <c r="T27" s="1">
        <v>0.0008861248287910765</v>
      </c>
      <c r="U27" s="1">
        <v>0.0009574909380197761</v>
      </c>
      <c r="V27" s="1">
        <v>0.0009089560627577088</v>
      </c>
      <c r="W27" s="1">
        <v>0.0010747978970487603</v>
      </c>
      <c r="X27" s="1">
        <v>0.0005974852089887561</v>
      </c>
      <c r="Y27" s="1">
        <v>0.0008919571044704277</v>
      </c>
      <c r="Z27" s="1">
        <v>0.0008447982711720845</v>
      </c>
      <c r="AA27" s="1">
        <v>1.0002538490659416</v>
      </c>
      <c r="AB27" s="1">
        <v>0.000271610638734114</v>
      </c>
      <c r="AC27" s="1">
        <v>0.00042231722747721763</v>
      </c>
      <c r="AD27" s="1">
        <v>0.0009490781925731688</v>
      </c>
      <c r="AE27" s="1">
        <v>0.0006465470473036295</v>
      </c>
      <c r="AF27" s="1">
        <v>0.000721154272362769</v>
      </c>
      <c r="AG27" s="1">
        <v>0.00041512282715816697</v>
      </c>
      <c r="AH27" s="1">
        <v>0.16865164504780228</v>
      </c>
    </row>
    <row r="28" spans="1:34" ht="21" customHeight="1">
      <c r="A28" s="3">
        <v>26</v>
      </c>
      <c r="B28" s="1" t="s">
        <v>29</v>
      </c>
      <c r="C28" s="1">
        <v>0.0020149476961264547</v>
      </c>
      <c r="D28" s="1">
        <v>0.0016516629156777612</v>
      </c>
      <c r="E28" s="1">
        <v>0.0038449087687320175</v>
      </c>
      <c r="F28" s="1">
        <v>0.013734994970677013</v>
      </c>
      <c r="G28" s="1">
        <v>0.008406383146942004</v>
      </c>
      <c r="H28" s="1">
        <v>0.1320491317852927</v>
      </c>
      <c r="I28" s="1">
        <v>0.00862029991261203</v>
      </c>
      <c r="J28" s="1">
        <v>0.030276689463592254</v>
      </c>
      <c r="K28" s="1">
        <v>0.010212013750464878</v>
      </c>
      <c r="L28" s="1">
        <v>0.03375014536547321</v>
      </c>
      <c r="M28" s="1">
        <v>0.011778991837006854</v>
      </c>
      <c r="N28" s="1">
        <v>0.03252665903240646</v>
      </c>
      <c r="O28" s="1">
        <v>0.0808790099159677</v>
      </c>
      <c r="P28" s="1">
        <v>0.02964241916397634</v>
      </c>
      <c r="Q28" s="1">
        <v>0.0768634782601651</v>
      </c>
      <c r="R28" s="1">
        <v>0.018537876637991488</v>
      </c>
      <c r="S28" s="1">
        <v>0.004561064031310169</v>
      </c>
      <c r="T28" s="1">
        <v>0.020368147476891883</v>
      </c>
      <c r="U28" s="1">
        <v>0.0016027104567751607</v>
      </c>
      <c r="V28" s="1">
        <v>0.0024910354168312544</v>
      </c>
      <c r="W28" s="1">
        <v>0.0014315547296761635</v>
      </c>
      <c r="X28" s="1">
        <v>0.0004010553201081052</v>
      </c>
      <c r="Y28" s="1">
        <v>0.0024465655272315934</v>
      </c>
      <c r="Z28" s="1">
        <v>0.014058823184545715</v>
      </c>
      <c r="AA28" s="1">
        <v>0.0017813497747078118</v>
      </c>
      <c r="AB28" s="1">
        <v>1.0008894703455995</v>
      </c>
      <c r="AC28" s="1">
        <v>0.002867955302374384</v>
      </c>
      <c r="AD28" s="1">
        <v>0.0011488827992958222</v>
      </c>
      <c r="AE28" s="1">
        <v>0.0031448878209777978</v>
      </c>
      <c r="AF28" s="1">
        <v>0.001431095910190757</v>
      </c>
      <c r="AG28" s="1">
        <v>0.0037207651891477665</v>
      </c>
      <c r="AH28" s="1">
        <v>0.014510826373352326</v>
      </c>
    </row>
    <row r="29" spans="1:34" ht="21" customHeight="1">
      <c r="A29" s="3">
        <v>27</v>
      </c>
      <c r="B29" s="1" t="s">
        <v>30</v>
      </c>
      <c r="C29" s="1">
        <v>2.3643433535788843E-06</v>
      </c>
      <c r="D29" s="1">
        <v>5.050830802337331E-06</v>
      </c>
      <c r="E29" s="1">
        <v>1.7030488971566683E-06</v>
      </c>
      <c r="F29" s="1">
        <v>3.888467062747143E-06</v>
      </c>
      <c r="G29" s="1">
        <v>3.899822337855674E-06</v>
      </c>
      <c r="H29" s="1">
        <v>3.5699837985581735E-05</v>
      </c>
      <c r="I29" s="1">
        <v>3.2063995126343153E-06</v>
      </c>
      <c r="J29" s="1">
        <v>3.794474441195783E-06</v>
      </c>
      <c r="K29" s="1">
        <v>3.229091434296475E-06</v>
      </c>
      <c r="L29" s="1">
        <v>2.3295701167826535E-06</v>
      </c>
      <c r="M29" s="1">
        <v>2.479608075857896E-06</v>
      </c>
      <c r="N29" s="1">
        <v>2.4209317591460476E-06</v>
      </c>
      <c r="O29" s="1">
        <v>2.42557956558917E-06</v>
      </c>
      <c r="P29" s="1">
        <v>1.8024691300850675E-06</v>
      </c>
      <c r="Q29" s="1">
        <v>2.637821050408402E-06</v>
      </c>
      <c r="R29" s="1">
        <v>4.5704557085862175E-06</v>
      </c>
      <c r="S29" s="1">
        <v>3.4540477136664456E-06</v>
      </c>
      <c r="T29" s="1">
        <v>3.187920893592985E-06</v>
      </c>
      <c r="U29" s="1">
        <v>3.796360315999814E-05</v>
      </c>
      <c r="V29" s="1">
        <v>1.832727792959403E-05</v>
      </c>
      <c r="W29" s="1">
        <v>3.1459882361304605E-05</v>
      </c>
      <c r="X29" s="1">
        <v>3.8118296975316704E-06</v>
      </c>
      <c r="Y29" s="1">
        <v>2.0136611695572607E-05</v>
      </c>
      <c r="Z29" s="1">
        <v>5.11037085090715E-05</v>
      </c>
      <c r="AA29" s="1">
        <v>1.4126828327350948E-05</v>
      </c>
      <c r="AB29" s="1">
        <v>7.006549759932719E-06</v>
      </c>
      <c r="AC29" s="1">
        <v>1.0175586748647676</v>
      </c>
      <c r="AD29" s="1">
        <v>1.1961121746946224E-05</v>
      </c>
      <c r="AE29" s="1">
        <v>7.67535602828575E-06</v>
      </c>
      <c r="AF29" s="1">
        <v>3.4584048695461705E-05</v>
      </c>
      <c r="AG29" s="1">
        <v>4.4152393677663936E-06</v>
      </c>
      <c r="AH29" s="1">
        <v>1.1682081459004616E-05</v>
      </c>
    </row>
    <row r="30" spans="1:34" ht="21" customHeight="1">
      <c r="A30" s="3">
        <v>28</v>
      </c>
      <c r="B30" s="1" t="s">
        <v>31</v>
      </c>
      <c r="C30" s="1">
        <v>0.0005996294625267408</v>
      </c>
      <c r="D30" s="1">
        <v>0.00211373614097462</v>
      </c>
      <c r="E30" s="1">
        <v>0.000867067048109934</v>
      </c>
      <c r="F30" s="1">
        <v>0.0014097694396201432</v>
      </c>
      <c r="G30" s="1">
        <v>0.0010271257317653276</v>
      </c>
      <c r="H30" s="1">
        <v>0.0031391320619191905</v>
      </c>
      <c r="I30" s="1">
        <v>0.0013042062282914205</v>
      </c>
      <c r="J30" s="1">
        <v>0.0017345173712774884</v>
      </c>
      <c r="K30" s="1">
        <v>0.0015592967500115363</v>
      </c>
      <c r="L30" s="1">
        <v>0.0007740042136215023</v>
      </c>
      <c r="M30" s="1">
        <v>0.0016310867624664078</v>
      </c>
      <c r="N30" s="1">
        <v>0.0015398576319506638</v>
      </c>
      <c r="O30" s="1">
        <v>0.001179649690397257</v>
      </c>
      <c r="P30" s="1">
        <v>0.0006095117585529416</v>
      </c>
      <c r="Q30" s="1">
        <v>0.0007620905110635881</v>
      </c>
      <c r="R30" s="1">
        <v>0.0010994561590675503</v>
      </c>
      <c r="S30" s="1">
        <v>0.0013400285994802407</v>
      </c>
      <c r="T30" s="1">
        <v>0.001775127858370141</v>
      </c>
      <c r="U30" s="1">
        <v>0.008969116259966457</v>
      </c>
      <c r="V30" s="1">
        <v>0.0008933027269752552</v>
      </c>
      <c r="W30" s="1">
        <v>0.002610152636287919</v>
      </c>
      <c r="X30" s="1">
        <v>0.00040358121809772686</v>
      </c>
      <c r="Y30" s="1">
        <v>0.00175513379204247</v>
      </c>
      <c r="Z30" s="1">
        <v>0.0015993297406700366</v>
      </c>
      <c r="AA30" s="1">
        <v>0.00048266089283974874</v>
      </c>
      <c r="AB30" s="1">
        <v>0.0013039573124169845</v>
      </c>
      <c r="AC30" s="1">
        <v>0.0013214989514442168</v>
      </c>
      <c r="AD30" s="1">
        <v>1.000317995355635</v>
      </c>
      <c r="AE30" s="1">
        <v>0.002144920158698072</v>
      </c>
      <c r="AF30" s="1">
        <v>0.003363666604016541</v>
      </c>
      <c r="AG30" s="1">
        <v>0.0004202952071841909</v>
      </c>
      <c r="AH30" s="1">
        <v>0.0020689476514532024</v>
      </c>
    </row>
    <row r="31" spans="1:34" ht="21" customHeight="1">
      <c r="A31" s="3">
        <v>29</v>
      </c>
      <c r="B31" s="1" t="s">
        <v>32</v>
      </c>
      <c r="C31" s="1">
        <v>0.03063108957808621</v>
      </c>
      <c r="D31" s="1">
        <v>0.15976832888412637</v>
      </c>
      <c r="E31" s="1">
        <v>0.03409806889426208</v>
      </c>
      <c r="F31" s="1">
        <v>0.0450703988323435</v>
      </c>
      <c r="G31" s="1">
        <v>0.04883209254262542</v>
      </c>
      <c r="H31" s="1">
        <v>0.08120681939513408</v>
      </c>
      <c r="I31" s="1">
        <v>0.06227290638014615</v>
      </c>
      <c r="J31" s="1">
        <v>0.06509701660990498</v>
      </c>
      <c r="K31" s="1">
        <v>0.050251215463292004</v>
      </c>
      <c r="L31" s="1">
        <v>0.0408597841415715</v>
      </c>
      <c r="M31" s="1">
        <v>0.0518054380313679</v>
      </c>
      <c r="N31" s="1">
        <v>0.05768529073840779</v>
      </c>
      <c r="O31" s="1">
        <v>0.055467733684526524</v>
      </c>
      <c r="P31" s="1">
        <v>0.034236695317148104</v>
      </c>
      <c r="Q31" s="1">
        <v>0.04934334681355208</v>
      </c>
      <c r="R31" s="1">
        <v>0.04934970415277415</v>
      </c>
      <c r="S31" s="1">
        <v>0.08178524582069707</v>
      </c>
      <c r="T31" s="1">
        <v>0.10012260262890502</v>
      </c>
      <c r="U31" s="1">
        <v>0.06531121628608658</v>
      </c>
      <c r="V31" s="1">
        <v>0.0734908621107582</v>
      </c>
      <c r="W31" s="1">
        <v>0.11890393653879192</v>
      </c>
      <c r="X31" s="1">
        <v>0.027205927803601933</v>
      </c>
      <c r="Y31" s="1">
        <v>0.08035014260241381</v>
      </c>
      <c r="Z31" s="1">
        <v>0.1165230609235748</v>
      </c>
      <c r="AA31" s="1">
        <v>0.09696074116966215</v>
      </c>
      <c r="AB31" s="1">
        <v>0.04628951803393208</v>
      </c>
      <c r="AC31" s="1">
        <v>0.049235749491257925</v>
      </c>
      <c r="AD31" s="1">
        <v>0.07355914277188028</v>
      </c>
      <c r="AE31" s="1">
        <v>1.0908167568303546</v>
      </c>
      <c r="AF31" s="1">
        <v>0.04693062712897784</v>
      </c>
      <c r="AG31" s="1">
        <v>0.023594380328563543</v>
      </c>
      <c r="AH31" s="1">
        <v>0.10323781137889788</v>
      </c>
    </row>
    <row r="32" spans="1:34" ht="21" customHeight="1">
      <c r="A32" s="3">
        <v>30</v>
      </c>
      <c r="B32" s="1" t="s">
        <v>33</v>
      </c>
      <c r="C32" s="1">
        <v>0.000806370396106192</v>
      </c>
      <c r="D32" s="1">
        <v>0.0016081233280292886</v>
      </c>
      <c r="E32" s="1">
        <v>0.0006418050354174258</v>
      </c>
      <c r="F32" s="1">
        <v>0.0009540257527436087</v>
      </c>
      <c r="G32" s="1">
        <v>0.0009056854152649364</v>
      </c>
      <c r="H32" s="1">
        <v>0.0016049478050799166</v>
      </c>
      <c r="I32" s="1">
        <v>0.0010503421497497264</v>
      </c>
      <c r="J32" s="1">
        <v>0.001018666505926467</v>
      </c>
      <c r="K32" s="1">
        <v>0.0009162273321696753</v>
      </c>
      <c r="L32" s="1">
        <v>0.0009020870999735102</v>
      </c>
      <c r="M32" s="1">
        <v>0.0009634440689068828</v>
      </c>
      <c r="N32" s="1">
        <v>0.0009727131259300424</v>
      </c>
      <c r="O32" s="1">
        <v>0.0009255856225442348</v>
      </c>
      <c r="P32" s="1">
        <v>0.0006305895557772967</v>
      </c>
      <c r="Q32" s="1">
        <v>0.0008369187583827722</v>
      </c>
      <c r="R32" s="1">
        <v>0.0011000653777355923</v>
      </c>
      <c r="S32" s="1">
        <v>0.0014438229280643638</v>
      </c>
      <c r="T32" s="1">
        <v>0.0012808607079605311</v>
      </c>
      <c r="U32" s="1">
        <v>0.0013277460562269342</v>
      </c>
      <c r="V32" s="1">
        <v>0.002775774866934214</v>
      </c>
      <c r="W32" s="1">
        <v>0.0020689436632605213</v>
      </c>
      <c r="X32" s="1">
        <v>0.0008847388046758958</v>
      </c>
      <c r="Y32" s="1">
        <v>0.0016706429556946451</v>
      </c>
      <c r="Z32" s="1">
        <v>0.04139155279288885</v>
      </c>
      <c r="AA32" s="1">
        <v>0.0032240971063717903</v>
      </c>
      <c r="AB32" s="1">
        <v>0.0015817534873308464</v>
      </c>
      <c r="AC32" s="1">
        <v>0.014998813539716042</v>
      </c>
      <c r="AD32" s="1">
        <v>0.0055742487091283675</v>
      </c>
      <c r="AE32" s="1">
        <v>0.005494862722157768</v>
      </c>
      <c r="AF32" s="1">
        <v>1.0205635769132677</v>
      </c>
      <c r="AG32" s="1">
        <v>0.0006589641428698263</v>
      </c>
      <c r="AH32" s="1">
        <v>0.012454691533654853</v>
      </c>
    </row>
    <row r="33" spans="1:34" ht="21" customHeight="1">
      <c r="A33" s="3">
        <v>31</v>
      </c>
      <c r="B33" s="1" t="s">
        <v>34</v>
      </c>
      <c r="C33" s="1">
        <v>0.0011465277383177906</v>
      </c>
      <c r="D33" s="1">
        <v>0.0025398974727008847</v>
      </c>
      <c r="E33" s="1">
        <v>0.0011821917899036238</v>
      </c>
      <c r="F33" s="1">
        <v>0.0027213497768800755</v>
      </c>
      <c r="G33" s="1">
        <v>0.0021794652969164166</v>
      </c>
      <c r="H33" s="1">
        <v>0.002081033394242494</v>
      </c>
      <c r="I33" s="1">
        <v>0.0013329806570732386</v>
      </c>
      <c r="J33" s="1">
        <v>0.002507530159113248</v>
      </c>
      <c r="K33" s="1">
        <v>0.001699390429748622</v>
      </c>
      <c r="L33" s="1">
        <v>0.0012855250981411962</v>
      </c>
      <c r="M33" s="1">
        <v>0.0025344434913107724</v>
      </c>
      <c r="N33" s="1">
        <v>0.0023478004428409355</v>
      </c>
      <c r="O33" s="1">
        <v>0.0019411606562923455</v>
      </c>
      <c r="P33" s="1">
        <v>0.0012006012906771348</v>
      </c>
      <c r="Q33" s="1">
        <v>0.002340435006343606</v>
      </c>
      <c r="R33" s="1">
        <v>0.0019316081356874645</v>
      </c>
      <c r="S33" s="1">
        <v>0.0011668190454106164</v>
      </c>
      <c r="T33" s="1">
        <v>0.0014607985466583069</v>
      </c>
      <c r="U33" s="1">
        <v>0.0023376747879879406</v>
      </c>
      <c r="V33" s="1">
        <v>0.004522933865410777</v>
      </c>
      <c r="W33" s="1">
        <v>0.0048845895581963936</v>
      </c>
      <c r="X33" s="1">
        <v>0.0006311042705218104</v>
      </c>
      <c r="Y33" s="1">
        <v>0.0026779117466956518</v>
      </c>
      <c r="Z33" s="1">
        <v>0.0032452686442603963</v>
      </c>
      <c r="AA33" s="1">
        <v>0.0038157576418341647</v>
      </c>
      <c r="AB33" s="1">
        <v>0.004138734983369638</v>
      </c>
      <c r="AC33" s="1">
        <v>0.0030704574629750237</v>
      </c>
      <c r="AD33" s="1">
        <v>0.0052884118763853235</v>
      </c>
      <c r="AE33" s="1">
        <v>0.003022049153578047</v>
      </c>
      <c r="AF33" s="1">
        <v>0.0032158725370531388</v>
      </c>
      <c r="AG33" s="1">
        <v>1.0011805896331982</v>
      </c>
      <c r="AH33" s="1">
        <v>0.002392652223119283</v>
      </c>
    </row>
    <row r="34" spans="1:34" ht="21" customHeight="1">
      <c r="A34" s="3">
        <v>32</v>
      </c>
      <c r="B34" s="1" t="s">
        <v>35</v>
      </c>
      <c r="C34" s="1">
        <v>0.005521445863991752</v>
      </c>
      <c r="D34" s="1">
        <v>0.014254111707427687</v>
      </c>
      <c r="E34" s="1">
        <v>0.008809729341084814</v>
      </c>
      <c r="F34" s="1">
        <v>0.0077893111433662236</v>
      </c>
      <c r="G34" s="1">
        <v>0.006904465717123472</v>
      </c>
      <c r="H34" s="1">
        <v>0.008795399193478841</v>
      </c>
      <c r="I34" s="1">
        <v>0.00920814097256537</v>
      </c>
      <c r="J34" s="1">
        <v>0.004412618936552643</v>
      </c>
      <c r="K34" s="1">
        <v>0.01292712835030853</v>
      </c>
      <c r="L34" s="1">
        <v>0.005054401226235226</v>
      </c>
      <c r="M34" s="1">
        <v>0.011176994834217982</v>
      </c>
      <c r="N34" s="1">
        <v>0.00843471243025283</v>
      </c>
      <c r="O34" s="1">
        <v>0.0062323319077856095</v>
      </c>
      <c r="P34" s="1">
        <v>0.003223815191194557</v>
      </c>
      <c r="Q34" s="1">
        <v>0.004933658530887602</v>
      </c>
      <c r="R34" s="1">
        <v>0.0060982347388510005</v>
      </c>
      <c r="S34" s="1">
        <v>0.004469475775079968</v>
      </c>
      <c r="T34" s="1">
        <v>0.005266326483769004</v>
      </c>
      <c r="U34" s="1">
        <v>0.0056904622475613354</v>
      </c>
      <c r="V34" s="1">
        <v>0.005402014739180647</v>
      </c>
      <c r="W34" s="1">
        <v>0.006387628972826857</v>
      </c>
      <c r="X34" s="1">
        <v>0.003550913006297913</v>
      </c>
      <c r="Y34" s="1">
        <v>0.005300988268286105</v>
      </c>
      <c r="Z34" s="1">
        <v>0.005020718711815673</v>
      </c>
      <c r="AA34" s="1">
        <v>0.0015086498148028102</v>
      </c>
      <c r="AB34" s="1">
        <v>0.001614208578254527</v>
      </c>
      <c r="AC34" s="1">
        <v>0.002509872568009875</v>
      </c>
      <c r="AD34" s="1">
        <v>0.005640464478954492</v>
      </c>
      <c r="AE34" s="1">
        <v>0.0038424923076165623</v>
      </c>
      <c r="AF34" s="1">
        <v>0.004285890339635928</v>
      </c>
      <c r="AG34" s="1">
        <v>0.0024671155435997336</v>
      </c>
      <c r="AH34" s="1">
        <v>1.0023132136565576</v>
      </c>
    </row>
    <row r="35" s="2" customFormat="1" ht="19.5" customHeight="1">
      <c r="A35" s="5"/>
    </row>
    <row r="36" s="2" customFormat="1" ht="19.5" customHeight="1">
      <c r="A36" s="5"/>
    </row>
  </sheetData>
  <sheetProtection/>
  <printOptions/>
  <pageMargins left="0.7874015748031497" right="0.7874015748031497" top="0.984251968503937" bottom="0.984251968503937" header="0.5118110236220472" footer="0.5118110236220472"/>
  <pageSetup fitToWidth="2" fitToHeight="1" horizontalDpi="300" verticalDpi="300" orientation="landscape" paperSize="12" scale="78" r:id="rId1"/>
  <headerFooter alignWithMargins="0">
    <oddHeader>&amp;LFILE=&amp;F,SHEET=&amp;A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石川県-県民交流課-統計情報室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経済波及効果分析（産業連関表）</dc:title>
  <dc:subject>産業分類ごとの経済波及効果の積算</dc:subject>
  <dc:creator>統計情報室統計情報グループ</dc:creator>
  <cp:keywords/>
  <dc:description/>
  <cp:lastModifiedBy>s-tubota</cp:lastModifiedBy>
  <cp:lastPrinted>2010-03-15T01:15:13Z</cp:lastPrinted>
  <dcterms:created xsi:type="dcterms:W3CDTF">1999-08-29T23:57:57Z</dcterms:created>
  <dcterms:modified xsi:type="dcterms:W3CDTF">2010-03-15T01:23:56Z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