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780" windowWidth="19440" windowHeight="12240" tabRatio="500" activeTab="4"/>
  </bookViews>
  <sheets>
    <sheet name="024" sheetId="1" r:id="rId1"/>
    <sheet name="026" sheetId="2" r:id="rId2"/>
    <sheet name="028" sheetId="3" r:id="rId3"/>
    <sheet name="030" sheetId="4" r:id="rId4"/>
    <sheet name="032" sheetId="5" r:id="rId5"/>
    <sheet name="034" sheetId="6" r:id="rId6"/>
  </sheets>
  <definedNames>
    <definedName name="_xlnm.Print_Area" localSheetId="1">'026'!$A$1:$AP$75</definedName>
  </definedNames>
  <calcPr fullCalcOnLoad="1"/>
</workbook>
</file>

<file path=xl/sharedStrings.xml><?xml version="1.0" encoding="utf-8"?>
<sst xmlns="http://schemas.openxmlformats.org/spreadsheetml/2006/main" count="1318" uniqueCount="263">
  <si>
    <t>協同組合（他に分類されないもの）</t>
  </si>
  <si>
    <t>サービス業(他に分類されないもの)</t>
  </si>
  <si>
    <t>自動車整備業</t>
  </si>
  <si>
    <t>34 事業所</t>
  </si>
  <si>
    <t>事業所 35</t>
  </si>
  <si>
    <t>電気･ガス･熱供給･水道業</t>
  </si>
  <si>
    <t>各 種 商 品 卸 売 業</t>
  </si>
  <si>
    <t>　　　</t>
  </si>
  <si>
    <t>事　業　　所　数</t>
  </si>
  <si>
    <t>中能登町</t>
  </si>
  <si>
    <t>鳳珠郡</t>
  </si>
  <si>
    <t>28 事業所</t>
  </si>
  <si>
    <t>事業所 29</t>
  </si>
  <si>
    <t>２１　　市 町  、産 業（大分類）、経 営 組 織 別 事 業 所 数、従 業 者 数（つづき）</t>
  </si>
  <si>
    <r>
      <t>注　　18</t>
    </r>
    <r>
      <rPr>
        <sz val="12"/>
        <rFont val="ＭＳ 明朝"/>
        <family val="1"/>
      </rPr>
      <t>年は10月１日、</t>
    </r>
    <r>
      <rPr>
        <sz val="12"/>
        <rFont val="ＭＳ 明朝"/>
        <family val="1"/>
      </rPr>
      <t>21年は7月1日</t>
    </r>
    <r>
      <rPr>
        <sz val="12"/>
        <rFont val="ＭＳ 明朝"/>
        <family val="1"/>
      </rPr>
      <t>現在の数値である。</t>
    </r>
  </si>
  <si>
    <t>－</t>
  </si>
  <si>
    <t>（１）　総　　　　　　　　　　数</t>
  </si>
  <si>
    <t>合  　　計</t>
  </si>
  <si>
    <t>農 林 漁 業</t>
  </si>
  <si>
    <t>非 農 林 漁 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</si>
  <si>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</si>
  <si>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</si>
  <si>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</si>
  <si>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>総  数</t>
  </si>
  <si>
    <r>
      <t>個人業主・</t>
    </r>
    <r>
      <rPr>
        <sz val="12"/>
        <rFont val="ＭＳ 明朝"/>
        <family val="1"/>
      </rPr>
      <t xml:space="preserve">  無給の家族 　従  業  者</t>
    </r>
  </si>
  <si>
    <t>有給役員</t>
  </si>
  <si>
    <t>常　　用　　雇　　用　　者</t>
  </si>
  <si>
    <t>臨時雇用者</t>
  </si>
  <si>
    <t>金 融 業，保  険  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</si>
  <si>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</si>
  <si>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</si>
  <si>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</si>
  <si>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</si>
  <si>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</si>
  <si>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</si>
  <si>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30 事業所</t>
  </si>
  <si>
    <t>事業所 31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</si>
  <si>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</si>
  <si>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</si>
  <si>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</si>
  <si>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</si>
  <si>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</si>
  <si>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</si>
  <si>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</si>
  <si>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</si>
  <si>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</si>
  <si>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32 事業所</t>
  </si>
  <si>
    <t>事業所 33</t>
  </si>
  <si>
    <t>２２　　産 業 （中 分 類） 従 業 者 規 模 別 事 業 所 数 及 び 従 業 者 数 （民 営）</t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</si>
  <si>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</si>
  <si>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</si>
  <si>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</si>
  <si>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事　業    所　数</t>
  </si>
  <si>
    <t>従　業　　者　数</t>
  </si>
  <si>
    <t xml:space="preserve">          13</t>
  </si>
  <si>
    <t xml:space="preserve">                 対 前 回 比</t>
  </si>
  <si>
    <t>農林漁業</t>
  </si>
  <si>
    <t>農業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</si>
  <si>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</si>
  <si>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</si>
  <si>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</si>
  <si>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</si>
  <si>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</si>
  <si>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</si>
  <si>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</si>
  <si>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</si>
  <si>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</si>
  <si>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加賀市</t>
  </si>
  <si>
    <t>羽咋市</t>
  </si>
  <si>
    <t>２１  市町、産業(大分類)、経営組織別事業所数、従業者数(つづき)</t>
  </si>
  <si>
    <t>（単位：所）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</si>
  <si>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</si>
  <si>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</si>
  <si>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</si>
  <si>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</si>
  <si>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</si>
  <si>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</si>
  <si>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繊維・衣服等卸売業</t>
  </si>
  <si>
    <t>飲 食 料 品 卸 売 業</t>
  </si>
  <si>
    <t>建築材料、鉱物・金属材料等卸売業</t>
  </si>
  <si>
    <t>機 械 器 具 卸 売 業</t>
  </si>
  <si>
    <t>資料　総務省統計局「経済センサス基礎調査」</t>
  </si>
  <si>
    <t>（単位：所、人、％）</t>
  </si>
  <si>
    <t>羽咋郡</t>
  </si>
  <si>
    <t>志賀町</t>
  </si>
  <si>
    <t>鹿島郡</t>
  </si>
  <si>
    <t>穴水町</t>
  </si>
  <si>
    <t>（３）　国　・　地　　 　方　　　 公　　　 共　　　 団　　　 体</t>
  </si>
  <si>
    <t>運輸業,郵便業</t>
  </si>
  <si>
    <t>学術研究,専門・技術サービス業</t>
  </si>
  <si>
    <t>医療,福祉</t>
  </si>
  <si>
    <t>１８　　産業（大分類）別経営組織別従業者数（平成21年7月１日現在）</t>
  </si>
  <si>
    <t>１９　　産業（大分類）別従業上の地位別従業者数及び派遣・下請従業者数（平成21年7月１日現在）</t>
  </si>
  <si>
    <t>１８ 年</t>
  </si>
  <si>
    <t>２１ 年</t>
  </si>
  <si>
    <r>
      <t>注　　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年は10月１日、</t>
    </r>
    <r>
      <rPr>
        <sz val="12"/>
        <rFont val="ＭＳ 明朝"/>
        <family val="1"/>
      </rPr>
      <t>21年は7月1日</t>
    </r>
    <r>
      <rPr>
        <sz val="12"/>
        <rFont val="ＭＳ 明朝"/>
        <family val="1"/>
      </rPr>
      <t>現在の数値である。</t>
    </r>
  </si>
  <si>
    <t>（２）　民　　　　　　　　　　営</t>
  </si>
  <si>
    <t>林業</t>
  </si>
  <si>
    <t>漁業</t>
  </si>
  <si>
    <t>非農林漁業（公務を除く）</t>
  </si>
  <si>
    <t>建設業</t>
  </si>
  <si>
    <t>製造業</t>
  </si>
  <si>
    <t>食料品製造業</t>
  </si>
  <si>
    <t>飲料・たばこ・飼料製造業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</si>
  <si>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</si>
  <si>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</si>
  <si>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r>
      <t>　</t>
    </r>
    <r>
      <rPr>
        <sz val="12"/>
        <rFont val="ＭＳ 明朝"/>
        <family val="1"/>
      </rPr>
      <t>50　～　99　人　</t>
    </r>
  </si>
  <si>
    <t>　100 ～ 299 人　</t>
  </si>
  <si>
    <t>　300 人 以 上　</t>
  </si>
  <si>
    <t>派遣・下請従業者のみ</t>
  </si>
  <si>
    <t>事　業
所　数</t>
  </si>
  <si>
    <t>運輸業，郵便業</t>
  </si>
  <si>
    <t>卸売業，小売業</t>
  </si>
  <si>
    <t>ゴム製品製造業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</si>
  <si>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</si>
  <si>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</si>
  <si>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</si>
  <si>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</si>
  <si>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</si>
  <si>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</si>
  <si>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</si>
  <si>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</si>
  <si>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</si>
  <si>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</si>
  <si>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輸送用機械器具製造業</t>
  </si>
  <si>
    <t>その他の製造業</t>
  </si>
  <si>
    <t>プラスチック製品製造業（別掲を除く）</t>
  </si>
  <si>
    <t>はん用機械器具製造業</t>
  </si>
  <si>
    <t>生産用機械器具製造業</t>
  </si>
  <si>
    <t>業務用機械器具製造業</t>
  </si>
  <si>
    <r>
      <t xml:space="preserve">年　　　次　　　及　　　び　　 </t>
    </r>
    <r>
      <rPr>
        <sz val="12"/>
        <rFont val="ＭＳ 明朝"/>
        <family val="1"/>
      </rPr>
      <t xml:space="preserve"> 　　　　　　産　　業　　分　　類　　別　</t>
    </r>
  </si>
  <si>
    <t>　総 　　　数　</t>
  </si>
  <si>
    <t>　１　～　４　人　</t>
  </si>
  <si>
    <t>２０　　市 町 別 事 業 所 数、従 業 者 数 推 移</t>
  </si>
  <si>
    <t>医療業</t>
  </si>
  <si>
    <t>保健衛生</t>
  </si>
  <si>
    <t>社会保険・社会福祉・介護事業</t>
  </si>
  <si>
    <t>学校教育</t>
  </si>
  <si>
    <t xml:space="preserve">その他の教育、学習支援業 </t>
  </si>
  <si>
    <t>複合サービス事業</t>
  </si>
  <si>
    <t>郵便局</t>
  </si>
  <si>
    <t>－</t>
  </si>
  <si>
    <t>２１　　市 町  、産 業（大分類）、経 営 組 織 別 事 業 所 数、従 業 者 数</t>
  </si>
  <si>
    <t>宿泊業,飲食サービス業</t>
  </si>
  <si>
    <t>生活関連サービス業,娯楽業</t>
  </si>
  <si>
    <t>平 成１８年</t>
  </si>
  <si>
    <t>２１年</t>
  </si>
  <si>
    <t>－</t>
  </si>
  <si>
    <r>
      <t>注　　1</t>
    </r>
    <r>
      <rPr>
        <sz val="12"/>
        <rFont val="ＭＳ 明朝"/>
        <family val="1"/>
      </rPr>
      <t>8年は</t>
    </r>
    <r>
      <rPr>
        <sz val="12"/>
        <rFont val="ＭＳ 明朝"/>
        <family val="1"/>
      </rPr>
      <t>10月１日、</t>
    </r>
    <r>
      <rPr>
        <sz val="12"/>
        <rFont val="ＭＳ 明朝"/>
        <family val="1"/>
      </rPr>
      <t>21年は7月1日</t>
    </r>
    <r>
      <rPr>
        <sz val="12"/>
        <rFont val="ＭＳ 明朝"/>
        <family val="1"/>
      </rPr>
      <t>現在の数値である。</t>
    </r>
  </si>
  <si>
    <t>－</t>
  </si>
  <si>
    <t xml:space="preserve">繊　維　工　業 </t>
  </si>
  <si>
    <t>印刷・同関連産業</t>
  </si>
  <si>
    <t>他からの派遣　・下請従業者（民 　　営）</t>
  </si>
  <si>
    <t>正社員・　　正職員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</si>
  <si>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</si>
  <si>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</si>
  <si>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</si>
  <si>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</si>
  <si>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</si>
  <si>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そ　の　他　の　小　売　業</t>
  </si>
  <si>
    <t>廃 棄 物 処 理 業</t>
  </si>
  <si>
    <t>その他の事業サービス業</t>
  </si>
  <si>
    <t>政治・経済・文化団体</t>
  </si>
  <si>
    <t>宗　　　　　　　教</t>
  </si>
  <si>
    <t>その他のサービス業</t>
  </si>
  <si>
    <t>２２　　産 業 （中 分 類） 従 業 者 規 模 別 事 業 所 数 及 び 従 業 者 数 （民 営）（つ づ き）</t>
  </si>
  <si>
    <t>産　　　業　　　分　　　類　　　別　</t>
  </si>
  <si>
    <t>　総 　　　数　</t>
  </si>
  <si>
    <t>　１　～　４　人　</t>
  </si>
  <si>
    <t>　５　～　９　人　</t>
  </si>
  <si>
    <t>　５　～　９　人　</t>
  </si>
  <si>
    <t>　10　～　29　人　</t>
  </si>
  <si>
    <r>
      <t>　30　～　</t>
    </r>
    <r>
      <rPr>
        <sz val="12"/>
        <rFont val="ＭＳ 明朝"/>
        <family val="1"/>
      </rPr>
      <t>49　人　</t>
    </r>
  </si>
  <si>
    <t>公 務（他に分類されるものを除く）</t>
  </si>
  <si>
    <t>正社員・　　正職員以外</t>
  </si>
  <si>
    <t>24　事業所</t>
  </si>
  <si>
    <t>事業所　25</t>
  </si>
  <si>
    <t>４　　　事　　　　　　業　　　　　　所</t>
  </si>
  <si>
    <r>
      <t xml:space="preserve">年次及び　　 </t>
    </r>
    <r>
      <rPr>
        <sz val="12"/>
        <rFont val="ＭＳ 明朝"/>
        <family val="1"/>
      </rPr>
      <t>市町別</t>
    </r>
  </si>
  <si>
    <t>情報通信業</t>
  </si>
  <si>
    <t>複合サービス事業</t>
  </si>
  <si>
    <t>事　　　業　　　所　　　数</t>
  </si>
  <si>
    <t>従　　　業　　　者　　　数</t>
  </si>
  <si>
    <t>個  人</t>
  </si>
  <si>
    <t>法  人</t>
  </si>
  <si>
    <t>法人でない　　　団体</t>
  </si>
  <si>
    <t>国</t>
  </si>
  <si>
    <t>対 前 回 　　増 加 率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</si>
  <si>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</si>
  <si>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</si>
  <si>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</si>
  <si>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</si>
  <si>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</si>
  <si>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</si>
  <si>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</si>
  <si>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</si>
  <si>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</si>
  <si>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従　業
者　数</t>
  </si>
  <si>
    <t>情報通信業</t>
  </si>
  <si>
    <t>卸　　　売　　　業</t>
  </si>
  <si>
    <r>
      <t>対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</si>
  <si>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かほく市</t>
  </si>
  <si>
    <t>能美市</t>
  </si>
  <si>
    <t>宝達志水町</t>
  </si>
  <si>
    <t>能登町</t>
  </si>
  <si>
    <t>川北町</t>
  </si>
  <si>
    <t>石川郡</t>
  </si>
  <si>
    <t>野々市町</t>
  </si>
  <si>
    <t>河北郡</t>
  </si>
  <si>
    <t>津幡町</t>
  </si>
  <si>
    <t>内灘町</t>
  </si>
  <si>
    <t>運輸業，郵便業</t>
  </si>
  <si>
    <t>卸売業，小売業</t>
  </si>
  <si>
    <t>金融業，保険業</t>
  </si>
  <si>
    <t>教育，学習支援業</t>
  </si>
  <si>
    <t>公務(他に分類されるものを除く)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</si>
  <si>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</si>
  <si>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</si>
  <si>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</si>
  <si>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</si>
  <si>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</si>
  <si>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</si>
  <si>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（単位：所、人）</t>
  </si>
  <si>
    <t>個　人</t>
  </si>
  <si>
    <t>法人でない　　　団　　　体</t>
  </si>
  <si>
    <r>
      <t>鉱業,採石業</t>
    </r>
    <r>
      <rPr>
        <sz val="12"/>
        <rFont val="ＭＳ 明朝"/>
        <family val="1"/>
      </rPr>
      <t>,砂利採取業</t>
    </r>
  </si>
  <si>
    <t>学術研究,専門・技術サービス業</t>
  </si>
  <si>
    <t>合  　　計</t>
  </si>
  <si>
    <t>農 林 漁 業</t>
  </si>
  <si>
    <t>非 農 林 漁 業</t>
  </si>
  <si>
    <t>建  設  業</t>
  </si>
  <si>
    <t>製  造  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</si>
  <si>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</si>
  <si>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</si>
  <si>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</si>
  <si>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</si>
  <si>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</si>
  <si>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機械等修理業（別掲を除く）</t>
  </si>
  <si>
    <t>職業紹介・労働者派遣業</t>
  </si>
  <si>
    <t>資料　総務省統計局「事業所・企業統計調査報告」、「経済センサス基礎調査」</t>
  </si>
  <si>
    <t>資料　総務省統計局「事業所・企業統計調査報告」、「経済センサス基礎調査」</t>
  </si>
  <si>
    <t>－</t>
  </si>
  <si>
    <t>石川郡</t>
  </si>
  <si>
    <t>野々市町</t>
  </si>
  <si>
    <t>河北郡</t>
  </si>
  <si>
    <t>津幡町</t>
  </si>
  <si>
    <t>１７　　産業（大分類）別経営組織別事業所数（平成21年7月１日現在）</t>
  </si>
  <si>
    <t>鉱業,採石業,砂利採取業</t>
  </si>
  <si>
    <t>（単位：所、人、％）</t>
  </si>
  <si>
    <t>電子部品・デバイス・電子回路製造業</t>
  </si>
  <si>
    <t>情報通信機械器具製造業</t>
  </si>
  <si>
    <t>　   ２１年</t>
  </si>
  <si>
    <t>機械器具小売業</t>
  </si>
  <si>
    <t>無店舗小売業</t>
  </si>
  <si>
    <t>産  業  大  分  類</t>
  </si>
  <si>
    <t>総　数</t>
  </si>
  <si>
    <t>民　　　　　　　　　営</t>
  </si>
  <si>
    <r>
      <t>地方公共　</t>
    </r>
    <r>
      <rPr>
        <sz val="12"/>
        <rFont val="ＭＳ 明朝"/>
        <family val="1"/>
      </rPr>
      <t xml:space="preserve">   団    体</t>
    </r>
  </si>
  <si>
    <r>
      <t>市 町</t>
    </r>
    <r>
      <rPr>
        <sz val="12"/>
        <rFont val="ＭＳ 明朝"/>
        <family val="1"/>
      </rPr>
      <t xml:space="preserve"> 別</t>
    </r>
  </si>
  <si>
    <r>
      <t>サービス業</t>
    </r>
    <r>
      <rPr>
        <sz val="12"/>
        <rFont val="ＭＳ 明朝"/>
        <family val="1"/>
      </rPr>
      <t>(他に分類されないもの)</t>
    </r>
  </si>
  <si>
    <t>白山市</t>
  </si>
  <si>
    <t>26 事業所</t>
  </si>
  <si>
    <t>事業所 27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</si>
</sst>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</numFmts>
  <fonts count="3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ｺﾞｼｯｸ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top"/>
    </xf>
    <xf numFmtId="180" fontId="2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177" fontId="21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27" fillId="0" borderId="14" xfId="49" applyFont="1" applyFill="1" applyBorder="1" applyAlignment="1">
      <alignment vertical="center"/>
    </xf>
    <xf numFmtId="38" fontId="27" fillId="0" borderId="15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8" fillId="0" borderId="0" xfId="49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177" fontId="27" fillId="0" borderId="0" xfId="49" applyNumberFormat="1" applyFont="1" applyFill="1" applyAlignment="1">
      <alignment vertical="center"/>
    </xf>
    <xf numFmtId="185" fontId="27" fillId="0" borderId="0" xfId="49" applyNumberFormat="1" applyFont="1" applyFill="1" applyAlignment="1">
      <alignment vertical="center"/>
    </xf>
    <xf numFmtId="180" fontId="27" fillId="0" borderId="0" xfId="49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25" fillId="0" borderId="17" xfId="0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horizontal="distributed" vertical="center"/>
    </xf>
    <xf numFmtId="177" fontId="0" fillId="0" borderId="0" xfId="49" applyNumberFormat="1" applyFont="1" applyFill="1" applyAlignment="1">
      <alignment vertical="center"/>
    </xf>
    <xf numFmtId="180" fontId="0" fillId="0" borderId="0" xfId="49" applyNumberFormat="1" applyFont="1" applyFill="1" applyAlignment="1">
      <alignment vertical="center"/>
    </xf>
    <xf numFmtId="0" fontId="32" fillId="0" borderId="17" xfId="0" applyFont="1" applyFill="1" applyBorder="1" applyAlignment="1">
      <alignment horizontal="distributed" vertical="center"/>
    </xf>
    <xf numFmtId="177" fontId="28" fillId="0" borderId="0" xfId="49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177" fontId="25" fillId="0" borderId="16" xfId="0" applyNumberFormat="1" applyFont="1" applyFill="1" applyBorder="1" applyAlignment="1">
      <alignment horizontal="distributed" vertical="center"/>
    </xf>
    <xf numFmtId="177" fontId="0" fillId="0" borderId="22" xfId="0" applyNumberFormat="1" applyFont="1" applyFill="1" applyBorder="1" applyAlignment="1">
      <alignment horizontal="distributed"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7" fontId="27" fillId="0" borderId="0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28" fillId="0" borderId="0" xfId="49" applyNumberFormat="1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38" fontId="27" fillId="0" borderId="0" xfId="49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180" fontId="0" fillId="0" borderId="0" xfId="49" applyNumberFormat="1" applyFont="1" applyFill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19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38" fontId="25" fillId="0" borderId="24" xfId="49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19" fillId="0" borderId="17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distributed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20" fillId="0" borderId="0" xfId="49" applyFont="1" applyFill="1" applyAlignment="1" quotePrefix="1">
      <alignment vertical="top"/>
    </xf>
    <xf numFmtId="38" fontId="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38" fontId="0" fillId="0" borderId="23" xfId="49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17" xfId="49" applyFont="1" applyFill="1" applyBorder="1" applyAlignment="1">
      <alignment horizontal="left"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>
      <alignment vertical="center"/>
    </xf>
    <xf numFmtId="38" fontId="28" fillId="0" borderId="0" xfId="49" applyFont="1" applyFill="1" applyBorder="1" applyAlignment="1" quotePrefix="1">
      <alignment horizontal="center" vertical="top"/>
    </xf>
    <xf numFmtId="38" fontId="27" fillId="0" borderId="0" xfId="49" applyFont="1" applyFill="1" applyBorder="1" applyAlignment="1" applyProtection="1">
      <alignment vertical="center"/>
      <protection/>
    </xf>
    <xf numFmtId="181" fontId="0" fillId="0" borderId="0" xfId="49" applyNumberFormat="1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 applyProtection="1">
      <alignment vertical="center"/>
      <protection/>
    </xf>
    <xf numFmtId="38" fontId="27" fillId="0" borderId="17" xfId="49" applyFont="1" applyFill="1" applyBorder="1" applyAlignment="1">
      <alignment horizontal="distributed" vertical="center"/>
    </xf>
    <xf numFmtId="38" fontId="27" fillId="0" borderId="0" xfId="49" applyFont="1" applyFill="1" applyAlignment="1">
      <alignment horizontal="left" vertical="center"/>
    </xf>
    <xf numFmtId="38" fontId="0" fillId="0" borderId="17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0" xfId="49" applyFont="1" applyFill="1" applyBorder="1" applyAlignment="1">
      <alignment horizontal="distributed" vertical="center"/>
    </xf>
    <xf numFmtId="0" fontId="20" fillId="0" borderId="0" xfId="0" applyFont="1" applyFill="1" applyAlignment="1" quotePrefix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 horizontal="distributed"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28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37" fontId="2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>
      <alignment horizontal="right" vertical="center"/>
    </xf>
    <xf numFmtId="0" fontId="23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7" fontId="27" fillId="0" borderId="0" xfId="0" applyNumberFormat="1" applyFont="1" applyFill="1" applyBorder="1" applyAlignment="1">
      <alignment horizontal="distributed" vertical="center"/>
    </xf>
    <xf numFmtId="177" fontId="2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177" fontId="27" fillId="0" borderId="13" xfId="0" applyNumberFormat="1" applyFont="1" applyFill="1" applyBorder="1" applyAlignment="1">
      <alignment horizontal="distributed" vertical="center"/>
    </xf>
    <xf numFmtId="177" fontId="0" fillId="0" borderId="15" xfId="49" applyNumberFormat="1" applyFont="1" applyFill="1" applyBorder="1" applyAlignment="1">
      <alignment vertical="center"/>
    </xf>
    <xf numFmtId="185" fontId="0" fillId="0" borderId="15" xfId="49" applyNumberFormat="1" applyFont="1" applyFill="1" applyBorder="1" applyAlignment="1">
      <alignment vertical="center"/>
    </xf>
    <xf numFmtId="180" fontId="0" fillId="0" borderId="1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185" fontId="0" fillId="0" borderId="0" xfId="49" applyNumberFormat="1" applyFont="1" applyFill="1" applyAlignment="1">
      <alignment vertical="center"/>
    </xf>
    <xf numFmtId="185" fontId="0" fillId="0" borderId="13" xfId="49" applyNumberFormat="1" applyFont="1" applyFill="1" applyBorder="1" applyAlignment="1">
      <alignment vertical="center"/>
    </xf>
    <xf numFmtId="180" fontId="0" fillId="0" borderId="0" xfId="49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7" fontId="3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31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horizontal="distributed" vertical="center" shrinkToFit="1"/>
    </xf>
    <xf numFmtId="38" fontId="0" fillId="0" borderId="17" xfId="49" applyFont="1" applyFill="1" applyBorder="1" applyAlignment="1">
      <alignment horizontal="distributed"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180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7" fontId="27" fillId="0" borderId="0" xfId="0" applyNumberFormat="1" applyFont="1" applyFill="1" applyBorder="1" applyAlignment="1">
      <alignment horizontal="distributed" vertical="center"/>
    </xf>
    <xf numFmtId="177" fontId="27" fillId="0" borderId="16" xfId="0" applyNumberFormat="1" applyFont="1" applyFill="1" applyBorder="1" applyAlignment="1">
      <alignment horizontal="distributed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180" fontId="0" fillId="0" borderId="35" xfId="0" applyNumberFormat="1" applyFont="1" applyFill="1" applyBorder="1" applyAlignment="1">
      <alignment horizontal="center" vertical="center" wrapText="1"/>
    </xf>
    <xf numFmtId="180" fontId="0" fillId="0" borderId="3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41" xfId="0" applyFont="1" applyFill="1" applyBorder="1" applyAlignment="1">
      <alignment horizontal="distributed" vertical="center"/>
    </xf>
    <xf numFmtId="177" fontId="0" fillId="0" borderId="35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177" fontId="27" fillId="0" borderId="0" xfId="0" applyNumberFormat="1" applyFont="1" applyFill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77" fontId="21" fillId="0" borderId="0" xfId="0" applyNumberFormat="1" applyFont="1" applyFill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52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55" xfId="0" applyFill="1" applyBorder="1" applyAlignment="1">
      <alignment horizontal="distributed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7" xfId="0" applyFont="1" applyFill="1" applyBorder="1" applyAlignment="1" applyProtection="1" quotePrefix="1">
      <alignment horizontal="center" vertical="center"/>
      <protection/>
    </xf>
    <xf numFmtId="38" fontId="27" fillId="0" borderId="0" xfId="49" applyFont="1" applyFill="1" applyAlignment="1">
      <alignment horizontal="distributed" vertical="center"/>
    </xf>
    <xf numFmtId="38" fontId="27" fillId="0" borderId="17" xfId="49" applyFont="1" applyFill="1" applyBorder="1" applyAlignment="1">
      <alignment horizontal="distributed" vertical="center"/>
    </xf>
    <xf numFmtId="38" fontId="21" fillId="0" borderId="0" xfId="49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8" fontId="23" fillId="0" borderId="0" xfId="49" applyFont="1" applyFill="1" applyBorder="1" applyAlignment="1">
      <alignment horizontal="distributed" vertical="center"/>
    </xf>
    <xf numFmtId="38" fontId="23" fillId="0" borderId="17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left" vertical="center"/>
    </xf>
    <xf numFmtId="38" fontId="0" fillId="0" borderId="39" xfId="49" applyFont="1" applyFill="1" applyBorder="1" applyAlignment="1" applyProtection="1">
      <alignment horizontal="center" vertical="center" wrapText="1"/>
      <protection/>
    </xf>
    <xf numFmtId="38" fontId="0" fillId="0" borderId="72" xfId="49" applyFont="1" applyFill="1" applyBorder="1" applyAlignment="1">
      <alignment horizontal="center" vertical="center" wrapText="1"/>
    </xf>
    <xf numFmtId="38" fontId="0" fillId="0" borderId="46" xfId="49" applyFont="1" applyFill="1" applyBorder="1" applyAlignment="1">
      <alignment horizontal="center" vertical="center" wrapText="1"/>
    </xf>
    <xf numFmtId="38" fontId="0" fillId="0" borderId="47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 wrapText="1"/>
    </xf>
    <xf numFmtId="38" fontId="0" fillId="0" borderId="24" xfId="49" applyFont="1" applyFill="1" applyBorder="1" applyAlignment="1">
      <alignment horizontal="center" vertical="center"/>
    </xf>
    <xf numFmtId="38" fontId="0" fillId="0" borderId="51" xfId="49" applyFont="1" applyFill="1" applyBorder="1" applyAlignment="1">
      <alignment horizontal="center" vertical="center"/>
    </xf>
    <xf numFmtId="38" fontId="0" fillId="0" borderId="53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>
      <alignment horizontal="center" vertical="center" wrapText="1"/>
    </xf>
    <xf numFmtId="38" fontId="0" fillId="0" borderId="50" xfId="49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37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37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75" zoomScaleNormal="75" zoomScalePageLayoutView="0" workbookViewId="0" topLeftCell="A1">
      <selection activeCell="A1" sqref="A1"/>
    </sheetView>
  </sheetViews>
  <sheetFormatPr defaultColWidth="11.19921875" defaultRowHeight="15"/>
  <cols>
    <col min="1" max="1" width="2.19921875" style="7" customWidth="1"/>
    <col min="2" max="2" width="23.19921875" style="7" customWidth="1"/>
    <col min="3" max="10" width="11.69921875" style="7" customWidth="1"/>
    <col min="11" max="11" width="12.19921875" style="7" customWidth="1"/>
    <col min="12" max="12" width="2.69921875" style="26" customWidth="1"/>
    <col min="13" max="13" width="9.69921875" style="26" customWidth="1"/>
    <col min="14" max="14" width="12.19921875" style="26" customWidth="1"/>
    <col min="15" max="15" width="11.19921875" style="26" customWidth="1"/>
    <col min="16" max="17" width="11.19921875" style="69" customWidth="1"/>
    <col min="18" max="18" width="11.69921875" style="26" customWidth="1"/>
    <col min="19" max="19" width="11.19921875" style="26" customWidth="1"/>
    <col min="20" max="21" width="11.19921875" style="69" customWidth="1"/>
    <col min="22" max="22" width="9" style="7" customWidth="1"/>
    <col min="23" max="23" width="10.19921875" style="7" bestFit="1" customWidth="1"/>
    <col min="24" max="24" width="11.69921875" style="7" bestFit="1" customWidth="1"/>
    <col min="25" max="16384" width="9" style="7" customWidth="1"/>
  </cols>
  <sheetData>
    <row r="1" spans="1:21" s="2" customFormat="1" ht="19.5" customHeight="1">
      <c r="A1" s="1" t="s">
        <v>175</v>
      </c>
      <c r="L1" s="3"/>
      <c r="M1" s="3"/>
      <c r="N1" s="4"/>
      <c r="O1" s="3"/>
      <c r="P1" s="5"/>
      <c r="Q1" s="5"/>
      <c r="R1" s="3"/>
      <c r="S1" s="3"/>
      <c r="T1" s="5"/>
      <c r="U1" s="6" t="s">
        <v>176</v>
      </c>
    </row>
    <row r="2" spans="1:21" ht="24.75" customHeight="1">
      <c r="A2" s="231" t="s">
        <v>177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3" ht="19.5" customHeight="1">
      <c r="A3" s="8"/>
      <c r="B3" s="9" t="s">
        <v>246</v>
      </c>
      <c r="C3" s="9"/>
      <c r="D3" s="9"/>
      <c r="E3" s="9"/>
      <c r="F3" s="9"/>
      <c r="G3" s="9"/>
      <c r="H3" s="8"/>
      <c r="I3" s="8"/>
      <c r="J3" s="10"/>
      <c r="L3" s="244" t="s">
        <v>133</v>
      </c>
      <c r="M3" s="244"/>
      <c r="N3" s="244"/>
      <c r="O3" s="244"/>
      <c r="P3" s="244"/>
      <c r="Q3" s="244"/>
      <c r="R3" s="244"/>
      <c r="S3" s="244"/>
      <c r="T3" s="244"/>
      <c r="U3" s="244"/>
      <c r="V3" s="11"/>
      <c r="W3" s="11"/>
    </row>
    <row r="4" spans="9:21" ht="18" customHeight="1" thickBot="1">
      <c r="I4" s="150" t="s">
        <v>70</v>
      </c>
      <c r="L4" s="7"/>
      <c r="M4" s="7"/>
      <c r="N4" s="7"/>
      <c r="O4" s="7"/>
      <c r="P4" s="7"/>
      <c r="Q4" s="7"/>
      <c r="R4" s="7"/>
      <c r="S4" s="7"/>
      <c r="T4" s="12"/>
      <c r="U4" s="13" t="s">
        <v>82</v>
      </c>
    </row>
    <row r="5" spans="1:21" ht="15" customHeight="1">
      <c r="A5" s="232" t="s">
        <v>254</v>
      </c>
      <c r="B5" s="233"/>
      <c r="C5" s="236" t="s">
        <v>255</v>
      </c>
      <c r="D5" s="238" t="s">
        <v>256</v>
      </c>
      <c r="E5" s="239"/>
      <c r="F5" s="239"/>
      <c r="G5" s="240"/>
      <c r="H5" s="241" t="s">
        <v>257</v>
      </c>
      <c r="I5" s="14"/>
      <c r="J5" s="15"/>
      <c r="L5" s="245" t="s">
        <v>258</v>
      </c>
      <c r="M5" s="246"/>
      <c r="N5" s="205" t="s">
        <v>181</v>
      </c>
      <c r="O5" s="206"/>
      <c r="P5" s="206"/>
      <c r="Q5" s="207"/>
      <c r="R5" s="205" t="s">
        <v>182</v>
      </c>
      <c r="S5" s="206"/>
      <c r="T5" s="206"/>
      <c r="U5" s="206"/>
    </row>
    <row r="6" spans="1:24" ht="15" customHeight="1">
      <c r="A6" s="194"/>
      <c r="B6" s="234"/>
      <c r="C6" s="237"/>
      <c r="D6" s="228" t="s">
        <v>183</v>
      </c>
      <c r="E6" s="250" t="s">
        <v>184</v>
      </c>
      <c r="F6" s="17"/>
      <c r="G6" s="208" t="s">
        <v>185</v>
      </c>
      <c r="H6" s="242"/>
      <c r="I6" s="18" t="s">
        <v>186</v>
      </c>
      <c r="J6" s="18"/>
      <c r="L6" s="198"/>
      <c r="M6" s="247"/>
      <c r="N6" s="216" t="s">
        <v>93</v>
      </c>
      <c r="O6" s="218" t="s">
        <v>94</v>
      </c>
      <c r="P6" s="210" t="s">
        <v>187</v>
      </c>
      <c r="Q6" s="200" t="s">
        <v>188</v>
      </c>
      <c r="R6" s="216" t="s">
        <v>93</v>
      </c>
      <c r="S6" s="218" t="s">
        <v>94</v>
      </c>
      <c r="T6" s="210" t="s">
        <v>187</v>
      </c>
      <c r="U6" s="195" t="s">
        <v>188</v>
      </c>
      <c r="W6" s="194"/>
      <c r="X6" s="194"/>
    </row>
    <row r="7" spans="1:24" ht="15" customHeight="1">
      <c r="A7" s="223"/>
      <c r="B7" s="235"/>
      <c r="C7" s="229"/>
      <c r="D7" s="229"/>
      <c r="E7" s="251"/>
      <c r="F7" s="19" t="s">
        <v>189</v>
      </c>
      <c r="G7" s="209"/>
      <c r="H7" s="243"/>
      <c r="I7" s="20"/>
      <c r="J7" s="21"/>
      <c r="L7" s="248"/>
      <c r="M7" s="249"/>
      <c r="N7" s="217"/>
      <c r="O7" s="217"/>
      <c r="P7" s="211"/>
      <c r="Q7" s="199"/>
      <c r="R7" s="217"/>
      <c r="S7" s="217"/>
      <c r="T7" s="211"/>
      <c r="U7" s="196"/>
      <c r="W7" s="16"/>
      <c r="X7" s="16"/>
    </row>
    <row r="8" spans="1:21" ht="15" customHeight="1">
      <c r="A8" s="214" t="s">
        <v>190</v>
      </c>
      <c r="B8" s="215"/>
      <c r="C8" s="22">
        <v>68035</v>
      </c>
      <c r="D8" s="23">
        <v>29841</v>
      </c>
      <c r="E8" s="23">
        <v>35799</v>
      </c>
      <c r="F8" s="23">
        <v>30296</v>
      </c>
      <c r="G8" s="23">
        <v>450</v>
      </c>
      <c r="H8" s="23">
        <v>1825</v>
      </c>
      <c r="I8" s="24">
        <v>120</v>
      </c>
      <c r="J8" s="25"/>
      <c r="M8" s="27"/>
      <c r="P8" s="28"/>
      <c r="Q8" s="28"/>
      <c r="R8" s="29"/>
      <c r="S8" s="29"/>
      <c r="T8" s="30"/>
      <c r="U8" s="28"/>
    </row>
    <row r="9" spans="1:38" ht="15" customHeight="1">
      <c r="A9" s="201" t="s">
        <v>56</v>
      </c>
      <c r="B9" s="202"/>
      <c r="C9" s="32">
        <f>328+80</f>
        <v>408</v>
      </c>
      <c r="D9" s="160" t="s">
        <v>141</v>
      </c>
      <c r="E9" s="33">
        <f>321+73</f>
        <v>394</v>
      </c>
      <c r="F9" s="33">
        <f>176+63</f>
        <v>239</v>
      </c>
      <c r="G9" s="33">
        <v>8</v>
      </c>
      <c r="H9" s="33">
        <v>4</v>
      </c>
      <c r="I9" s="33">
        <v>2</v>
      </c>
      <c r="J9" s="34"/>
      <c r="L9" s="203" t="s">
        <v>58</v>
      </c>
      <c r="M9" s="204"/>
      <c r="N9" s="35">
        <v>66948</v>
      </c>
      <c r="O9" s="35">
        <v>68035</v>
      </c>
      <c r="P9" s="36">
        <f>(O9-N9)/N9*100</f>
        <v>1.6236482045766862</v>
      </c>
      <c r="Q9" s="37">
        <f>O9/68035*100</f>
        <v>100</v>
      </c>
      <c r="R9" s="35">
        <v>577944</v>
      </c>
      <c r="S9" s="35">
        <v>609917</v>
      </c>
      <c r="T9" s="36">
        <f>(S9-R9)/R9*100</f>
        <v>5.532196891048267</v>
      </c>
      <c r="U9" s="37">
        <f>S9/609917*100</f>
        <v>100</v>
      </c>
      <c r="V9" s="38"/>
      <c r="W9" s="26"/>
      <c r="X9" s="26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ht="15" customHeight="1">
      <c r="A10" s="201" t="s">
        <v>59</v>
      </c>
      <c r="B10" s="202"/>
      <c r="C10" s="32">
        <f>C8-C9</f>
        <v>67627</v>
      </c>
      <c r="D10" s="39">
        <v>29841</v>
      </c>
      <c r="E10" s="39">
        <f>E8-E9</f>
        <v>35405</v>
      </c>
      <c r="F10" s="39">
        <f>F8-F9</f>
        <v>30057</v>
      </c>
      <c r="G10" s="39">
        <f>G8-G9</f>
        <v>442</v>
      </c>
      <c r="H10" s="39">
        <f>H8-H9</f>
        <v>1821</v>
      </c>
      <c r="I10" s="39">
        <f>I8-I9</f>
        <v>118</v>
      </c>
      <c r="J10" s="34"/>
      <c r="L10" s="212"/>
      <c r="M10" s="213"/>
      <c r="N10" s="40"/>
      <c r="O10" s="40"/>
      <c r="P10" s="36"/>
      <c r="Q10" s="37"/>
      <c r="R10" s="40"/>
      <c r="S10" s="40"/>
      <c r="T10" s="36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2:38" ht="15" customHeight="1">
      <c r="B11" s="155" t="s">
        <v>247</v>
      </c>
      <c r="C11" s="32">
        <v>40</v>
      </c>
      <c r="D11" s="33">
        <v>3</v>
      </c>
      <c r="E11" s="33">
        <v>37</v>
      </c>
      <c r="F11" s="33">
        <v>36</v>
      </c>
      <c r="G11" s="160" t="s">
        <v>141</v>
      </c>
      <c r="H11" s="160" t="s">
        <v>141</v>
      </c>
      <c r="I11" s="160" t="s">
        <v>141</v>
      </c>
      <c r="J11" s="41"/>
      <c r="L11" s="203" t="s">
        <v>60</v>
      </c>
      <c r="M11" s="204"/>
      <c r="N11" s="35">
        <v>27512</v>
      </c>
      <c r="O11" s="35">
        <v>28574</v>
      </c>
      <c r="P11" s="36">
        <f aca="true" t="shared" si="0" ref="P11:P41">(O11-N11)/N11*100</f>
        <v>3.8601337598138996</v>
      </c>
      <c r="Q11" s="37">
        <f aca="true" t="shared" si="1" ref="Q11:Q41">O11/68035*100</f>
        <v>41.99897111780701</v>
      </c>
      <c r="R11" s="35">
        <v>259228</v>
      </c>
      <c r="S11" s="35">
        <v>277977</v>
      </c>
      <c r="T11" s="36">
        <f aca="true" t="shared" si="2" ref="T11:T41">(S11-R11)/R11*100</f>
        <v>7.232629191291064</v>
      </c>
      <c r="U11" s="37">
        <f aca="true" t="shared" si="3" ref="U11:U41">S11/609917*100</f>
        <v>45.57620135198724</v>
      </c>
      <c r="V11" s="38"/>
      <c r="W11" s="26"/>
      <c r="X11" s="26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2:38" ht="15" customHeight="1">
      <c r="B12" s="31" t="s">
        <v>100</v>
      </c>
      <c r="C12" s="32">
        <v>7500</v>
      </c>
      <c r="D12" s="33">
        <v>3173</v>
      </c>
      <c r="E12" s="33">
        <v>4325</v>
      </c>
      <c r="F12" s="33">
        <v>4314</v>
      </c>
      <c r="G12" s="33">
        <v>2</v>
      </c>
      <c r="H12" s="160" t="s">
        <v>141</v>
      </c>
      <c r="I12" s="160" t="s">
        <v>141</v>
      </c>
      <c r="J12" s="41"/>
      <c r="L12" s="203" t="s">
        <v>61</v>
      </c>
      <c r="M12" s="204"/>
      <c r="N12" s="35">
        <v>4047</v>
      </c>
      <c r="O12" s="35">
        <v>4086</v>
      </c>
      <c r="P12" s="36">
        <f t="shared" si="0"/>
        <v>0.9636767976278725</v>
      </c>
      <c r="Q12" s="37">
        <f t="shared" si="1"/>
        <v>6.0057323436466525</v>
      </c>
      <c r="R12" s="35">
        <v>30396</v>
      </c>
      <c r="S12" s="35">
        <v>31277</v>
      </c>
      <c r="T12" s="36">
        <f t="shared" si="2"/>
        <v>2.89840768522174</v>
      </c>
      <c r="U12" s="37">
        <f t="shared" si="3"/>
        <v>5.12807480362082</v>
      </c>
      <c r="V12" s="38"/>
      <c r="W12" s="26"/>
      <c r="X12" s="26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2:38" ht="15" customHeight="1">
      <c r="B13" s="31" t="s">
        <v>101</v>
      </c>
      <c r="C13" s="32">
        <v>8048</v>
      </c>
      <c r="D13" s="33">
        <v>3697</v>
      </c>
      <c r="E13" s="33">
        <v>4347</v>
      </c>
      <c r="F13" s="33">
        <v>4294</v>
      </c>
      <c r="G13" s="33">
        <v>4</v>
      </c>
      <c r="H13" s="160" t="s">
        <v>141</v>
      </c>
      <c r="I13" s="160" t="s">
        <v>141</v>
      </c>
      <c r="J13" s="41"/>
      <c r="L13" s="203" t="s">
        <v>62</v>
      </c>
      <c r="M13" s="204"/>
      <c r="N13" s="35">
        <v>6448</v>
      </c>
      <c r="O13" s="35">
        <v>6527</v>
      </c>
      <c r="P13" s="36">
        <f t="shared" si="0"/>
        <v>1.2251861042183623</v>
      </c>
      <c r="Q13" s="37">
        <f t="shared" si="1"/>
        <v>9.593591533769382</v>
      </c>
      <c r="R13" s="35">
        <v>54359</v>
      </c>
      <c r="S13" s="35">
        <v>58530</v>
      </c>
      <c r="T13" s="36">
        <f t="shared" si="2"/>
        <v>7.673062418366785</v>
      </c>
      <c r="U13" s="37">
        <f t="shared" si="3"/>
        <v>9.596387705212349</v>
      </c>
      <c r="V13" s="38"/>
      <c r="W13" s="26"/>
      <c r="X13" s="26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38" ht="15" customHeight="1">
      <c r="B14" s="42" t="s">
        <v>63</v>
      </c>
      <c r="C14" s="32">
        <v>79</v>
      </c>
      <c r="D14" s="160" t="s">
        <v>141</v>
      </c>
      <c r="E14" s="33">
        <v>34</v>
      </c>
      <c r="F14" s="33">
        <v>33</v>
      </c>
      <c r="G14" s="33">
        <v>1</v>
      </c>
      <c r="H14" s="33">
        <v>44</v>
      </c>
      <c r="I14" s="160" t="s">
        <v>141</v>
      </c>
      <c r="J14" s="41"/>
      <c r="L14" s="203" t="s">
        <v>64</v>
      </c>
      <c r="M14" s="204"/>
      <c r="N14" s="35">
        <v>2190</v>
      </c>
      <c r="O14" s="35">
        <v>2155</v>
      </c>
      <c r="P14" s="36">
        <f t="shared" si="0"/>
        <v>-1.5981735159817352</v>
      </c>
      <c r="Q14" s="37">
        <f t="shared" si="1"/>
        <v>3.167487322701551</v>
      </c>
      <c r="R14" s="35">
        <v>12561</v>
      </c>
      <c r="S14" s="35">
        <v>12758</v>
      </c>
      <c r="T14" s="36">
        <f t="shared" si="2"/>
        <v>1.5683464692301567</v>
      </c>
      <c r="U14" s="37">
        <f t="shared" si="3"/>
        <v>2.091760026364243</v>
      </c>
      <c r="V14" s="38"/>
      <c r="W14" s="26"/>
      <c r="X14" s="26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38" ht="15" customHeight="1">
      <c r="B15" s="31" t="s">
        <v>65</v>
      </c>
      <c r="C15" s="32">
        <v>701</v>
      </c>
      <c r="D15" s="33">
        <v>33</v>
      </c>
      <c r="E15" s="33">
        <v>659</v>
      </c>
      <c r="F15" s="33">
        <v>641</v>
      </c>
      <c r="G15" s="33">
        <v>7</v>
      </c>
      <c r="H15" s="33">
        <v>2</v>
      </c>
      <c r="I15" s="160" t="s">
        <v>141</v>
      </c>
      <c r="J15" s="41"/>
      <c r="L15" s="203" t="s">
        <v>66</v>
      </c>
      <c r="M15" s="204"/>
      <c r="N15" s="35">
        <v>1306</v>
      </c>
      <c r="O15" s="35">
        <v>1244</v>
      </c>
      <c r="P15" s="36">
        <f t="shared" si="0"/>
        <v>-4.747320061255743</v>
      </c>
      <c r="Q15" s="37">
        <f t="shared" si="1"/>
        <v>1.8284706401117072</v>
      </c>
      <c r="R15" s="35">
        <v>7530</v>
      </c>
      <c r="S15" s="35">
        <v>7445</v>
      </c>
      <c r="T15" s="36">
        <f t="shared" si="2"/>
        <v>-1.1288180610889775</v>
      </c>
      <c r="U15" s="37">
        <f t="shared" si="3"/>
        <v>1.2206578927952492</v>
      </c>
      <c r="V15" s="38"/>
      <c r="W15" s="26"/>
      <c r="X15" s="26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2:38" ht="15" customHeight="1">
      <c r="B16" s="154" t="s">
        <v>88</v>
      </c>
      <c r="C16" s="32">
        <v>1529</v>
      </c>
      <c r="D16" s="33">
        <v>311</v>
      </c>
      <c r="E16" s="33">
        <v>1201</v>
      </c>
      <c r="F16" s="33">
        <v>1174</v>
      </c>
      <c r="G16" s="33">
        <v>10</v>
      </c>
      <c r="H16" s="33">
        <v>7</v>
      </c>
      <c r="I16" s="160" t="s">
        <v>141</v>
      </c>
      <c r="J16" s="34"/>
      <c r="L16" s="203" t="s">
        <v>67</v>
      </c>
      <c r="M16" s="204"/>
      <c r="N16" s="35">
        <v>4465</v>
      </c>
      <c r="O16" s="35">
        <v>4369</v>
      </c>
      <c r="P16" s="36">
        <f t="shared" si="0"/>
        <v>-2.1500559910414334</v>
      </c>
      <c r="Q16" s="37">
        <f t="shared" si="1"/>
        <v>6.421694715955023</v>
      </c>
      <c r="R16" s="35">
        <v>34740</v>
      </c>
      <c r="S16" s="35">
        <v>35116</v>
      </c>
      <c r="T16" s="36">
        <f t="shared" si="2"/>
        <v>1.0823258491652272</v>
      </c>
      <c r="U16" s="37">
        <f t="shared" si="3"/>
        <v>5.757504709657216</v>
      </c>
      <c r="V16" s="38"/>
      <c r="W16" s="26"/>
      <c r="X16" s="26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2:38" ht="15" customHeight="1">
      <c r="B17" s="31" t="s">
        <v>217</v>
      </c>
      <c r="C17" s="32">
        <v>17371</v>
      </c>
      <c r="D17" s="33">
        <v>7137</v>
      </c>
      <c r="E17" s="33">
        <v>10204</v>
      </c>
      <c r="F17" s="33">
        <v>9864</v>
      </c>
      <c r="G17" s="33">
        <v>29</v>
      </c>
      <c r="H17" s="33">
        <v>1</v>
      </c>
      <c r="I17" s="160" t="s">
        <v>141</v>
      </c>
      <c r="J17" s="34"/>
      <c r="L17" s="203" t="s">
        <v>68</v>
      </c>
      <c r="M17" s="204"/>
      <c r="N17" s="35">
        <v>1594</v>
      </c>
      <c r="O17" s="35">
        <v>1467</v>
      </c>
      <c r="P17" s="36">
        <f t="shared" si="0"/>
        <v>-7.9673776662484315</v>
      </c>
      <c r="Q17" s="37">
        <f t="shared" si="1"/>
        <v>2.1562431101638864</v>
      </c>
      <c r="R17" s="35">
        <v>10766</v>
      </c>
      <c r="S17" s="35">
        <v>10625</v>
      </c>
      <c r="T17" s="36">
        <f t="shared" si="2"/>
        <v>-1.3096786178710755</v>
      </c>
      <c r="U17" s="37">
        <f t="shared" si="3"/>
        <v>1.7420403104028908</v>
      </c>
      <c r="V17" s="38"/>
      <c r="W17" s="26"/>
      <c r="X17" s="26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2:38" ht="15" customHeight="1">
      <c r="B18" s="31" t="s">
        <v>218</v>
      </c>
      <c r="C18" s="32">
        <v>1102</v>
      </c>
      <c r="D18" s="33">
        <v>114</v>
      </c>
      <c r="E18" s="33">
        <v>987</v>
      </c>
      <c r="F18" s="33">
        <v>745</v>
      </c>
      <c r="G18" s="33">
        <v>1</v>
      </c>
      <c r="H18" s="160" t="s">
        <v>141</v>
      </c>
      <c r="I18" s="160" t="s">
        <v>141</v>
      </c>
      <c r="J18" s="34"/>
      <c r="L18" s="203" t="s">
        <v>191</v>
      </c>
      <c r="M18" s="204"/>
      <c r="N18" s="35">
        <v>1981</v>
      </c>
      <c r="O18" s="35">
        <v>1932</v>
      </c>
      <c r="P18" s="36">
        <f t="shared" si="0"/>
        <v>-2.4734982332155475</v>
      </c>
      <c r="Q18" s="37">
        <f t="shared" si="1"/>
        <v>2.839714852649372</v>
      </c>
      <c r="R18" s="35">
        <v>14219</v>
      </c>
      <c r="S18" s="35">
        <v>15639</v>
      </c>
      <c r="T18" s="36">
        <f t="shared" si="2"/>
        <v>9.986637597580701</v>
      </c>
      <c r="U18" s="37">
        <f t="shared" si="3"/>
        <v>2.5641193801779587</v>
      </c>
      <c r="V18" s="38"/>
      <c r="W18" s="26"/>
      <c r="X18" s="26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2:38" ht="15" customHeight="1">
      <c r="B19" s="154" t="s">
        <v>219</v>
      </c>
      <c r="C19" s="32">
        <v>3359</v>
      </c>
      <c r="D19" s="33">
        <v>1406</v>
      </c>
      <c r="E19" s="33">
        <v>1938</v>
      </c>
      <c r="F19" s="33">
        <v>1869</v>
      </c>
      <c r="G19" s="33">
        <v>7</v>
      </c>
      <c r="H19" s="33">
        <v>8</v>
      </c>
      <c r="I19" s="160" t="s">
        <v>141</v>
      </c>
      <c r="J19" s="34"/>
      <c r="L19" s="203" t="s">
        <v>192</v>
      </c>
      <c r="M19" s="204"/>
      <c r="N19" s="35">
        <v>4981</v>
      </c>
      <c r="O19" s="35">
        <v>5246</v>
      </c>
      <c r="P19" s="36">
        <f t="shared" si="0"/>
        <v>5.320216823930938</v>
      </c>
      <c r="Q19" s="37">
        <f t="shared" si="1"/>
        <v>7.710737120599691</v>
      </c>
      <c r="R19" s="35">
        <v>52038</v>
      </c>
      <c r="S19" s="35">
        <v>56176</v>
      </c>
      <c r="T19" s="36">
        <f t="shared" si="2"/>
        <v>7.95188131749875</v>
      </c>
      <c r="U19" s="37">
        <f t="shared" si="3"/>
        <v>9.210433550794617</v>
      </c>
      <c r="V19" s="38"/>
      <c r="W19" s="26"/>
      <c r="X19" s="26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2:38" ht="15" customHeight="1">
      <c r="B20" s="46" t="s">
        <v>89</v>
      </c>
      <c r="C20" s="32">
        <v>2424</v>
      </c>
      <c r="D20" s="33">
        <v>1209</v>
      </c>
      <c r="E20" s="33">
        <v>1154</v>
      </c>
      <c r="F20" s="33">
        <v>1023</v>
      </c>
      <c r="G20" s="33">
        <v>6</v>
      </c>
      <c r="H20" s="33">
        <v>39</v>
      </c>
      <c r="I20" s="33">
        <v>16</v>
      </c>
      <c r="J20" s="34"/>
      <c r="L20" s="203" t="s">
        <v>193</v>
      </c>
      <c r="M20" s="204"/>
      <c r="N20" s="35">
        <v>2438</v>
      </c>
      <c r="O20" s="35">
        <v>2396</v>
      </c>
      <c r="P20" s="36">
        <f t="shared" si="0"/>
        <v>-1.7227235438884332</v>
      </c>
      <c r="Q20" s="37">
        <f t="shared" si="1"/>
        <v>3.5217167634305873</v>
      </c>
      <c r="R20" s="35">
        <v>22657</v>
      </c>
      <c r="S20" s="35">
        <v>23271</v>
      </c>
      <c r="T20" s="36">
        <f t="shared" si="2"/>
        <v>2.7099792558591163</v>
      </c>
      <c r="U20" s="37">
        <f t="shared" si="3"/>
        <v>3.8154371824362987</v>
      </c>
      <c r="V20" s="38"/>
      <c r="W20" s="26"/>
      <c r="X20" s="26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2:38" ht="15" customHeight="1">
      <c r="B21" s="154" t="s">
        <v>220</v>
      </c>
      <c r="C21" s="32">
        <v>7795</v>
      </c>
      <c r="D21" s="33">
        <v>5348</v>
      </c>
      <c r="E21" s="33">
        <v>2407</v>
      </c>
      <c r="F21" s="33">
        <v>2340</v>
      </c>
      <c r="G21" s="33">
        <v>9</v>
      </c>
      <c r="H21" s="33">
        <v>29</v>
      </c>
      <c r="I21" s="33">
        <v>2</v>
      </c>
      <c r="J21" s="34"/>
      <c r="L21" s="203"/>
      <c r="M21" s="204"/>
      <c r="N21" s="35"/>
      <c r="O21" s="35"/>
      <c r="P21" s="36"/>
      <c r="Q21" s="37"/>
      <c r="R21" s="35"/>
      <c r="S21" s="35"/>
      <c r="T21" s="36"/>
      <c r="U21" s="37"/>
      <c r="V21" s="38"/>
      <c r="W21" s="26"/>
      <c r="X21" s="26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2:38" ht="15" customHeight="1">
      <c r="B22" s="46" t="s">
        <v>221</v>
      </c>
      <c r="C22" s="32">
        <v>5435</v>
      </c>
      <c r="D22" s="33">
        <v>3880</v>
      </c>
      <c r="E22" s="33">
        <v>1492</v>
      </c>
      <c r="F22" s="33">
        <v>1392</v>
      </c>
      <c r="G22" s="33">
        <v>9</v>
      </c>
      <c r="H22" s="33">
        <v>53</v>
      </c>
      <c r="I22" s="33">
        <v>1</v>
      </c>
      <c r="J22" s="34"/>
      <c r="L22" s="203" t="s">
        <v>194</v>
      </c>
      <c r="M22" s="204"/>
      <c r="N22" s="35">
        <v>306</v>
      </c>
      <c r="O22" s="35">
        <v>309</v>
      </c>
      <c r="P22" s="36">
        <f t="shared" si="0"/>
        <v>0.9803921568627451</v>
      </c>
      <c r="Q22" s="37">
        <f t="shared" si="1"/>
        <v>0.45417799661938707</v>
      </c>
      <c r="R22" s="35">
        <v>3866</v>
      </c>
      <c r="S22" s="35">
        <v>3026</v>
      </c>
      <c r="T22" s="36">
        <f t="shared" si="2"/>
        <v>-21.727884117951373</v>
      </c>
      <c r="U22" s="37">
        <f t="shared" si="3"/>
        <v>0.4961330804027433</v>
      </c>
      <c r="V22" s="38"/>
      <c r="W22" s="26"/>
      <c r="X22" s="26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2:38" ht="15" customHeight="1">
      <c r="B23" s="154" t="s">
        <v>216</v>
      </c>
      <c r="C23" s="32">
        <v>2681</v>
      </c>
      <c r="D23" s="33">
        <v>1322</v>
      </c>
      <c r="E23" s="33">
        <v>638</v>
      </c>
      <c r="F23" s="33">
        <v>358</v>
      </c>
      <c r="G23" s="33">
        <v>13</v>
      </c>
      <c r="H23" s="33">
        <v>705</v>
      </c>
      <c r="I23" s="33">
        <v>3</v>
      </c>
      <c r="J23" s="34"/>
      <c r="L23" s="7"/>
      <c r="M23" s="43" t="s">
        <v>195</v>
      </c>
      <c r="N23" s="44">
        <v>306</v>
      </c>
      <c r="O23" s="44">
        <v>309</v>
      </c>
      <c r="P23" s="162">
        <f t="shared" si="0"/>
        <v>0.9803921568627451</v>
      </c>
      <c r="Q23" s="164">
        <f t="shared" si="1"/>
        <v>0.45417799661938707</v>
      </c>
      <c r="R23" s="44">
        <v>3866</v>
      </c>
      <c r="S23" s="44">
        <v>3026</v>
      </c>
      <c r="T23" s="162">
        <f t="shared" si="2"/>
        <v>-21.727884117951373</v>
      </c>
      <c r="U23" s="164">
        <f t="shared" si="3"/>
        <v>0.4961330804027433</v>
      </c>
      <c r="V23" s="38"/>
      <c r="W23" s="26"/>
      <c r="X23" s="26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2:38" ht="15" customHeight="1">
      <c r="B24" s="154" t="s">
        <v>90</v>
      </c>
      <c r="C24" s="32">
        <v>3598</v>
      </c>
      <c r="D24" s="33">
        <v>1566</v>
      </c>
      <c r="E24" s="33">
        <v>1588</v>
      </c>
      <c r="F24" s="33">
        <v>291</v>
      </c>
      <c r="G24" s="33">
        <v>56</v>
      </c>
      <c r="H24" s="33">
        <v>383</v>
      </c>
      <c r="I24" s="33">
        <v>5</v>
      </c>
      <c r="J24" s="34"/>
      <c r="L24" s="203"/>
      <c r="M24" s="204"/>
      <c r="N24" s="35"/>
      <c r="O24" s="35"/>
      <c r="P24" s="36"/>
      <c r="Q24" s="37"/>
      <c r="R24" s="35"/>
      <c r="S24" s="35"/>
      <c r="T24" s="36"/>
      <c r="U24" s="37"/>
      <c r="V24" s="38"/>
      <c r="W24" s="26"/>
      <c r="X24" s="26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2:38" ht="15" customHeight="1">
      <c r="B25" s="31" t="s">
        <v>180</v>
      </c>
      <c r="C25" s="32">
        <v>510</v>
      </c>
      <c r="D25" s="33">
        <v>61</v>
      </c>
      <c r="E25" s="33">
        <v>449</v>
      </c>
      <c r="F25" s="33">
        <v>260</v>
      </c>
      <c r="G25" s="160" t="s">
        <v>141</v>
      </c>
      <c r="H25" s="160" t="s">
        <v>141</v>
      </c>
      <c r="I25" s="160" t="s">
        <v>141</v>
      </c>
      <c r="J25" s="34"/>
      <c r="L25" s="203" t="s">
        <v>242</v>
      </c>
      <c r="M25" s="204"/>
      <c r="N25" s="35">
        <v>2459</v>
      </c>
      <c r="O25" s="35">
        <v>2534</v>
      </c>
      <c r="P25" s="36">
        <f t="shared" si="0"/>
        <v>3.05002033346889</v>
      </c>
      <c r="Q25" s="37">
        <f t="shared" si="1"/>
        <v>3.7245535386198276</v>
      </c>
      <c r="R25" s="35">
        <v>24003</v>
      </c>
      <c r="S25" s="35">
        <v>25640</v>
      </c>
      <c r="T25" s="36">
        <f t="shared" si="2"/>
        <v>6.819980835728867</v>
      </c>
      <c r="U25" s="37">
        <f t="shared" si="3"/>
        <v>4.203850687880482</v>
      </c>
      <c r="V25" s="38"/>
      <c r="W25" s="26"/>
      <c r="X25" s="26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2:38" ht="15" customHeight="1">
      <c r="B26" s="46" t="s">
        <v>196</v>
      </c>
      <c r="C26" s="32">
        <v>4892</v>
      </c>
      <c r="D26" s="33">
        <v>581</v>
      </c>
      <c r="E26" s="33">
        <v>3945</v>
      </c>
      <c r="F26" s="33">
        <v>1423</v>
      </c>
      <c r="G26" s="33">
        <v>288</v>
      </c>
      <c r="H26" s="33">
        <v>77</v>
      </c>
      <c r="I26" s="33">
        <v>1</v>
      </c>
      <c r="J26" s="34"/>
      <c r="M26" s="43" t="s">
        <v>243</v>
      </c>
      <c r="N26" s="44">
        <v>2459</v>
      </c>
      <c r="O26" s="44">
        <v>2534</v>
      </c>
      <c r="P26" s="162">
        <f t="shared" si="0"/>
        <v>3.05002033346889</v>
      </c>
      <c r="Q26" s="164">
        <f t="shared" si="1"/>
        <v>3.7245535386198276</v>
      </c>
      <c r="R26" s="44">
        <v>24003</v>
      </c>
      <c r="S26" s="44">
        <v>25640</v>
      </c>
      <c r="T26" s="162">
        <f t="shared" si="2"/>
        <v>6.819980835728867</v>
      </c>
      <c r="U26" s="164">
        <f t="shared" si="3"/>
        <v>4.203850687880482</v>
      </c>
      <c r="V26" s="38"/>
      <c r="W26" s="26"/>
      <c r="X26" s="26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" customHeight="1">
      <c r="A27" s="48"/>
      <c r="B27" s="49" t="s">
        <v>173</v>
      </c>
      <c r="C27" s="50">
        <v>563</v>
      </c>
      <c r="D27" s="161" t="s">
        <v>141</v>
      </c>
      <c r="E27" s="161" t="s">
        <v>141</v>
      </c>
      <c r="F27" s="161" t="s">
        <v>141</v>
      </c>
      <c r="G27" s="161" t="s">
        <v>141</v>
      </c>
      <c r="H27" s="52">
        <v>473</v>
      </c>
      <c r="I27" s="52">
        <v>90</v>
      </c>
      <c r="J27" s="39"/>
      <c r="L27" s="203"/>
      <c r="M27" s="204"/>
      <c r="N27" s="35"/>
      <c r="O27" s="35"/>
      <c r="P27" s="36"/>
      <c r="Q27" s="37"/>
      <c r="R27" s="35"/>
      <c r="S27" s="35"/>
      <c r="T27" s="36"/>
      <c r="U27" s="37"/>
      <c r="V27" s="38"/>
      <c r="W27" s="26"/>
      <c r="X27" s="26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24" ht="15" customHeight="1">
      <c r="A28" s="182" t="s">
        <v>81</v>
      </c>
      <c r="C28" s="53"/>
      <c r="D28" s="53"/>
      <c r="E28" s="53"/>
      <c r="F28" s="53"/>
      <c r="G28" s="53"/>
      <c r="H28" s="53"/>
      <c r="I28" s="53"/>
      <c r="L28" s="203" t="s">
        <v>244</v>
      </c>
      <c r="M28" s="204"/>
      <c r="N28" s="35">
        <v>2098</v>
      </c>
      <c r="O28" s="35">
        <v>2238</v>
      </c>
      <c r="P28" s="36">
        <f t="shared" si="0"/>
        <v>6.67302192564347</v>
      </c>
      <c r="Q28" s="37">
        <f t="shared" si="1"/>
        <v>3.289483354155949</v>
      </c>
      <c r="R28" s="35">
        <v>17338</v>
      </c>
      <c r="S28" s="35">
        <v>18681</v>
      </c>
      <c r="T28" s="36">
        <f t="shared" si="2"/>
        <v>7.74599146383666</v>
      </c>
      <c r="U28" s="37">
        <f t="shared" si="3"/>
        <v>3.06287576834225</v>
      </c>
      <c r="W28" s="26"/>
      <c r="X28" s="26"/>
    </row>
    <row r="29" spans="3:24" ht="15" customHeight="1">
      <c r="C29" s="53"/>
      <c r="D29" s="53"/>
      <c r="E29" s="53"/>
      <c r="F29" s="53"/>
      <c r="G29" s="53"/>
      <c r="H29" s="53"/>
      <c r="I29" s="53"/>
      <c r="M29" s="43" t="s">
        <v>245</v>
      </c>
      <c r="N29" s="44">
        <v>1152</v>
      </c>
      <c r="O29" s="44">
        <v>1236</v>
      </c>
      <c r="P29" s="162">
        <f t="shared" si="0"/>
        <v>7.291666666666667</v>
      </c>
      <c r="Q29" s="164">
        <f t="shared" si="1"/>
        <v>1.8167119864775483</v>
      </c>
      <c r="R29" s="44">
        <v>10551</v>
      </c>
      <c r="S29" s="44">
        <v>11099</v>
      </c>
      <c r="T29" s="162">
        <f t="shared" si="2"/>
        <v>5.193820490948725</v>
      </c>
      <c r="U29" s="164">
        <f t="shared" si="3"/>
        <v>1.8197558028387468</v>
      </c>
      <c r="W29" s="26"/>
      <c r="X29" s="26"/>
    </row>
    <row r="30" spans="4:29" ht="15" customHeight="1">
      <c r="D30" s="15"/>
      <c r="E30" s="15"/>
      <c r="F30" s="15"/>
      <c r="G30" s="15"/>
      <c r="H30" s="15"/>
      <c r="I30" s="15"/>
      <c r="L30" s="151"/>
      <c r="M30" s="43" t="s">
        <v>114</v>
      </c>
      <c r="N30" s="44">
        <v>946</v>
      </c>
      <c r="O30" s="44">
        <v>1002</v>
      </c>
      <c r="P30" s="162">
        <f t="shared" si="0"/>
        <v>5.9196617336152215</v>
      </c>
      <c r="Q30" s="164">
        <f t="shared" si="1"/>
        <v>1.4727713676784009</v>
      </c>
      <c r="R30" s="44">
        <v>6787</v>
      </c>
      <c r="S30" s="44">
        <v>7582</v>
      </c>
      <c r="T30" s="162">
        <f t="shared" si="2"/>
        <v>11.713570060409605</v>
      </c>
      <c r="U30" s="164">
        <f t="shared" si="3"/>
        <v>1.243119965503503</v>
      </c>
      <c r="V30" s="38"/>
      <c r="W30" s="26"/>
      <c r="X30" s="26"/>
      <c r="Y30" s="38"/>
      <c r="Z30" s="38"/>
      <c r="AA30" s="38"/>
      <c r="AB30" s="38"/>
      <c r="AC30" s="38"/>
    </row>
    <row r="31" spans="2:24" ht="15" customHeight="1">
      <c r="B31" s="9" t="s">
        <v>91</v>
      </c>
      <c r="M31" s="43"/>
      <c r="N31" s="44"/>
      <c r="O31" s="44"/>
      <c r="P31" s="36"/>
      <c r="Q31" s="37"/>
      <c r="R31" s="44"/>
      <c r="S31" s="44"/>
      <c r="T31" s="36"/>
      <c r="U31" s="37"/>
      <c r="W31" s="26"/>
      <c r="X31" s="26"/>
    </row>
    <row r="32" spans="1:24" ht="15" customHeight="1" thickBot="1">
      <c r="A32" s="8"/>
      <c r="B32" s="9"/>
      <c r="C32" s="9"/>
      <c r="D32" s="9"/>
      <c r="E32" s="9"/>
      <c r="F32" s="9"/>
      <c r="G32" s="9"/>
      <c r="H32" s="8"/>
      <c r="I32" s="12" t="s">
        <v>115</v>
      </c>
      <c r="L32" s="203" t="s">
        <v>116</v>
      </c>
      <c r="M32" s="204"/>
      <c r="N32" s="35">
        <v>2002</v>
      </c>
      <c r="O32" s="35">
        <v>1973</v>
      </c>
      <c r="P32" s="36">
        <f t="shared" si="0"/>
        <v>-1.4485514485514486</v>
      </c>
      <c r="Q32" s="37">
        <f t="shared" si="1"/>
        <v>2.899977952524436</v>
      </c>
      <c r="R32" s="35">
        <v>14906</v>
      </c>
      <c r="S32" s="35">
        <v>15227</v>
      </c>
      <c r="T32" s="36">
        <f t="shared" si="2"/>
        <v>2.153495236817389</v>
      </c>
      <c r="U32" s="37">
        <f t="shared" si="3"/>
        <v>2.496569205318101</v>
      </c>
      <c r="W32" s="26"/>
      <c r="X32" s="26"/>
    </row>
    <row r="33" spans="1:24" ht="15" customHeight="1">
      <c r="A33" s="219" t="s">
        <v>254</v>
      </c>
      <c r="B33" s="220"/>
      <c r="C33" s="261" t="s">
        <v>255</v>
      </c>
      <c r="D33" s="264" t="s">
        <v>256</v>
      </c>
      <c r="E33" s="265"/>
      <c r="F33" s="265"/>
      <c r="G33" s="266"/>
      <c r="H33" s="273" t="s">
        <v>257</v>
      </c>
      <c r="I33" s="168"/>
      <c r="M33" s="43" t="s">
        <v>117</v>
      </c>
      <c r="N33" s="44">
        <v>1391</v>
      </c>
      <c r="O33" s="44">
        <v>1352</v>
      </c>
      <c r="P33" s="162">
        <f t="shared" si="0"/>
        <v>-2.803738317757009</v>
      </c>
      <c r="Q33" s="164">
        <f t="shared" si="1"/>
        <v>1.9872124641728521</v>
      </c>
      <c r="R33" s="44">
        <v>10060</v>
      </c>
      <c r="S33" s="44">
        <v>10331</v>
      </c>
      <c r="T33" s="162">
        <f t="shared" si="2"/>
        <v>2.6938369781312126</v>
      </c>
      <c r="U33" s="164">
        <f t="shared" si="3"/>
        <v>1.6938370302844488</v>
      </c>
      <c r="W33" s="26"/>
      <c r="X33" s="26"/>
    </row>
    <row r="34" spans="1:24" ht="18" customHeight="1">
      <c r="A34" s="221"/>
      <c r="B34" s="222"/>
      <c r="C34" s="262"/>
      <c r="D34" s="269" t="s">
        <v>223</v>
      </c>
      <c r="E34" s="221" t="s">
        <v>184</v>
      </c>
      <c r="F34" s="166"/>
      <c r="G34" s="271" t="s">
        <v>224</v>
      </c>
      <c r="H34" s="274"/>
      <c r="I34" s="18" t="s">
        <v>186</v>
      </c>
      <c r="J34" s="10"/>
      <c r="L34" s="151"/>
      <c r="M34" s="54" t="s">
        <v>118</v>
      </c>
      <c r="N34" s="44">
        <v>611</v>
      </c>
      <c r="O34" s="44">
        <v>621</v>
      </c>
      <c r="P34" s="162">
        <f t="shared" si="0"/>
        <v>1.6366612111292964</v>
      </c>
      <c r="Q34" s="164">
        <f t="shared" si="1"/>
        <v>0.9127654883515838</v>
      </c>
      <c r="R34" s="44">
        <v>4846</v>
      </c>
      <c r="S34" s="44">
        <v>4896</v>
      </c>
      <c r="T34" s="162">
        <f t="shared" si="2"/>
        <v>1.031778786628147</v>
      </c>
      <c r="U34" s="164">
        <f t="shared" si="3"/>
        <v>0.8027321750336521</v>
      </c>
      <c r="W34" s="26"/>
      <c r="X34" s="26"/>
    </row>
    <row r="35" spans="1:24" ht="18" customHeight="1">
      <c r="A35" s="223"/>
      <c r="B35" s="224"/>
      <c r="C35" s="263"/>
      <c r="D35" s="270"/>
      <c r="E35" s="221"/>
      <c r="F35" s="167" t="s">
        <v>189</v>
      </c>
      <c r="G35" s="272"/>
      <c r="H35" s="275"/>
      <c r="I35" s="18"/>
      <c r="J35" s="12"/>
      <c r="M35" s="43"/>
      <c r="N35" s="44"/>
      <c r="O35" s="44"/>
      <c r="P35" s="36"/>
      <c r="Q35" s="37"/>
      <c r="R35" s="44"/>
      <c r="S35" s="44"/>
      <c r="T35" s="36"/>
      <c r="U35" s="37"/>
      <c r="W35" s="26"/>
      <c r="X35" s="26"/>
    </row>
    <row r="36" spans="1:24" ht="15" customHeight="1">
      <c r="A36" s="214" t="s">
        <v>190</v>
      </c>
      <c r="B36" s="215"/>
      <c r="C36" s="22">
        <v>609917</v>
      </c>
      <c r="D36" s="23">
        <v>83091</v>
      </c>
      <c r="E36" s="23">
        <v>479449</v>
      </c>
      <c r="F36" s="23">
        <v>403814</v>
      </c>
      <c r="G36" s="23">
        <v>1504</v>
      </c>
      <c r="H36" s="23">
        <v>39252</v>
      </c>
      <c r="I36" s="23">
        <v>6621</v>
      </c>
      <c r="J36" s="15"/>
      <c r="L36" s="203" t="s">
        <v>119</v>
      </c>
      <c r="M36" s="204"/>
      <c r="N36" s="35">
        <v>1004</v>
      </c>
      <c r="O36" s="35">
        <v>933</v>
      </c>
      <c r="P36" s="36">
        <f t="shared" si="0"/>
        <v>-7.071713147410359</v>
      </c>
      <c r="Q36" s="37">
        <f t="shared" si="1"/>
        <v>1.3713529800837805</v>
      </c>
      <c r="R36" s="35">
        <v>6207</v>
      </c>
      <c r="S36" s="35">
        <v>5782</v>
      </c>
      <c r="T36" s="36">
        <f t="shared" si="2"/>
        <v>-6.847108103753826</v>
      </c>
      <c r="U36" s="37">
        <f t="shared" si="3"/>
        <v>0.947997842329366</v>
      </c>
      <c r="W36" s="26"/>
      <c r="X36" s="26"/>
    </row>
    <row r="37" spans="1:24" ht="15" customHeight="1">
      <c r="A37" s="225" t="s">
        <v>56</v>
      </c>
      <c r="B37" s="226"/>
      <c r="C37" s="32">
        <f>3157+1445</f>
        <v>4602</v>
      </c>
      <c r="D37" s="160" t="s">
        <v>141</v>
      </c>
      <c r="E37" s="33">
        <f>3101+1292</f>
        <v>4393</v>
      </c>
      <c r="F37" s="33">
        <f>1629+1021</f>
        <v>2650</v>
      </c>
      <c r="G37" s="33">
        <f>21+141</f>
        <v>162</v>
      </c>
      <c r="H37" s="33">
        <v>30</v>
      </c>
      <c r="I37" s="41">
        <v>17</v>
      </c>
      <c r="J37" s="18"/>
      <c r="L37" s="151"/>
      <c r="M37" s="43" t="s">
        <v>120</v>
      </c>
      <c r="N37" s="44">
        <v>1004</v>
      </c>
      <c r="O37" s="44">
        <v>933</v>
      </c>
      <c r="P37" s="162">
        <f t="shared" si="0"/>
        <v>-7.071713147410359</v>
      </c>
      <c r="Q37" s="164">
        <f t="shared" si="1"/>
        <v>1.3713529800837805</v>
      </c>
      <c r="R37" s="44">
        <v>6207</v>
      </c>
      <c r="S37" s="44">
        <v>5782</v>
      </c>
      <c r="T37" s="162">
        <f t="shared" si="2"/>
        <v>-6.847108103753826</v>
      </c>
      <c r="U37" s="164">
        <f t="shared" si="3"/>
        <v>0.947997842329366</v>
      </c>
      <c r="W37" s="26"/>
      <c r="X37" s="26"/>
    </row>
    <row r="38" spans="1:24" ht="15" customHeight="1">
      <c r="A38" s="201" t="s">
        <v>59</v>
      </c>
      <c r="B38" s="202"/>
      <c r="C38" s="32">
        <f>C36-C37</f>
        <v>605315</v>
      </c>
      <c r="D38" s="39">
        <v>83091</v>
      </c>
      <c r="E38" s="39">
        <f>E36-E37</f>
        <v>475056</v>
      </c>
      <c r="F38" s="39">
        <f>F36-F37</f>
        <v>401164</v>
      </c>
      <c r="G38" s="39">
        <f>G36-G37</f>
        <v>1342</v>
      </c>
      <c r="H38" s="39">
        <f>H36-H37</f>
        <v>39222</v>
      </c>
      <c r="I38" s="39">
        <f>I36-I37</f>
        <v>6604</v>
      </c>
      <c r="J38" s="21"/>
      <c r="L38" s="203"/>
      <c r="M38" s="204"/>
      <c r="N38" s="35"/>
      <c r="O38" s="35"/>
      <c r="P38" s="36"/>
      <c r="Q38" s="37"/>
      <c r="R38" s="35"/>
      <c r="S38" s="35"/>
      <c r="T38" s="36"/>
      <c r="U38" s="37"/>
      <c r="W38" s="26"/>
      <c r="X38" s="26"/>
    </row>
    <row r="39" spans="1:24" ht="15" customHeight="1">
      <c r="A39" s="153"/>
      <c r="B39" s="31" t="s">
        <v>247</v>
      </c>
      <c r="C39" s="34">
        <v>295</v>
      </c>
      <c r="D39" s="33">
        <v>15</v>
      </c>
      <c r="E39" s="33">
        <v>280</v>
      </c>
      <c r="F39" s="33">
        <v>279</v>
      </c>
      <c r="G39" s="160" t="s">
        <v>141</v>
      </c>
      <c r="H39" s="160" t="s">
        <v>141</v>
      </c>
      <c r="I39" s="160" t="s">
        <v>141</v>
      </c>
      <c r="J39" s="25"/>
      <c r="L39" s="203" t="s">
        <v>121</v>
      </c>
      <c r="M39" s="204"/>
      <c r="N39" s="35">
        <v>2117</v>
      </c>
      <c r="O39" s="35">
        <v>2052</v>
      </c>
      <c r="P39" s="36">
        <f t="shared" si="0"/>
        <v>-3.070382616910723</v>
      </c>
      <c r="Q39" s="37">
        <f t="shared" si="1"/>
        <v>3.016094657161755</v>
      </c>
      <c r="R39" s="35">
        <v>13130</v>
      </c>
      <c r="S39" s="35">
        <v>12747</v>
      </c>
      <c r="T39" s="36">
        <f t="shared" si="2"/>
        <v>-2.916984006092917</v>
      </c>
      <c r="U39" s="37">
        <f t="shared" si="3"/>
        <v>2.089956502278179</v>
      </c>
      <c r="W39" s="26"/>
      <c r="X39" s="26"/>
    </row>
    <row r="40" spans="2:24" ht="15" customHeight="1">
      <c r="B40" s="31" t="s">
        <v>100</v>
      </c>
      <c r="C40" s="34">
        <v>47965</v>
      </c>
      <c r="D40" s="33">
        <v>7846</v>
      </c>
      <c r="E40" s="33">
        <v>40109</v>
      </c>
      <c r="F40" s="33">
        <v>40074</v>
      </c>
      <c r="G40" s="33">
        <v>10</v>
      </c>
      <c r="H40" s="160" t="s">
        <v>141</v>
      </c>
      <c r="I40" s="160" t="s">
        <v>141</v>
      </c>
      <c r="J40" s="34"/>
      <c r="L40" s="151"/>
      <c r="M40" s="43" t="s">
        <v>122</v>
      </c>
      <c r="N40" s="44">
        <v>721</v>
      </c>
      <c r="O40" s="44">
        <v>691</v>
      </c>
      <c r="P40" s="162">
        <f t="shared" si="0"/>
        <v>-4.160887656033287</v>
      </c>
      <c r="Q40" s="164">
        <f t="shared" si="1"/>
        <v>1.0156537076504741</v>
      </c>
      <c r="R40" s="44">
        <v>4535</v>
      </c>
      <c r="S40" s="44">
        <v>4568</v>
      </c>
      <c r="T40" s="162">
        <f t="shared" si="2"/>
        <v>0.7276736493936053</v>
      </c>
      <c r="U40" s="164">
        <f t="shared" si="3"/>
        <v>0.7489543659219204</v>
      </c>
      <c r="W40" s="26"/>
      <c r="X40" s="26"/>
    </row>
    <row r="41" spans="2:24" ht="15" customHeight="1">
      <c r="B41" s="31" t="s">
        <v>101</v>
      </c>
      <c r="C41" s="34">
        <v>109007</v>
      </c>
      <c r="D41" s="33">
        <v>9792</v>
      </c>
      <c r="E41" s="33">
        <v>99190</v>
      </c>
      <c r="F41" s="33">
        <v>98573</v>
      </c>
      <c r="G41" s="33">
        <v>25</v>
      </c>
      <c r="H41" s="160" t="s">
        <v>141</v>
      </c>
      <c r="I41" s="160" t="s">
        <v>141</v>
      </c>
      <c r="J41" s="34"/>
      <c r="L41" s="156"/>
      <c r="M41" s="55" t="s">
        <v>123</v>
      </c>
      <c r="N41" s="56">
        <v>1396</v>
      </c>
      <c r="O41" s="56">
        <v>1361</v>
      </c>
      <c r="P41" s="163">
        <f t="shared" si="0"/>
        <v>-2.5071633237822346</v>
      </c>
      <c r="Q41" s="164">
        <f t="shared" si="1"/>
        <v>2.000440949511281</v>
      </c>
      <c r="R41" s="56">
        <v>8595</v>
      </c>
      <c r="S41" s="56">
        <v>8179</v>
      </c>
      <c r="T41" s="163">
        <f t="shared" si="2"/>
        <v>-4.840023269342641</v>
      </c>
      <c r="U41" s="164">
        <f t="shared" si="3"/>
        <v>1.3410021363562583</v>
      </c>
      <c r="W41" s="26"/>
      <c r="X41" s="26"/>
    </row>
    <row r="42" spans="2:24" ht="15" customHeight="1">
      <c r="B42" s="42" t="s">
        <v>63</v>
      </c>
      <c r="C42" s="34">
        <v>2560</v>
      </c>
      <c r="D42" s="160" t="s">
        <v>141</v>
      </c>
      <c r="E42" s="33">
        <v>1692</v>
      </c>
      <c r="F42" s="33">
        <v>1689</v>
      </c>
      <c r="G42" s="33">
        <v>10</v>
      </c>
      <c r="H42" s="33">
        <v>858</v>
      </c>
      <c r="I42" s="160" t="s">
        <v>141</v>
      </c>
      <c r="J42" s="33"/>
      <c r="L42" s="165" t="s">
        <v>95</v>
      </c>
      <c r="N42" s="59"/>
      <c r="O42" s="59"/>
      <c r="P42" s="60"/>
      <c r="Q42" s="159"/>
      <c r="R42" s="157"/>
      <c r="S42" s="157"/>
      <c r="T42" s="158"/>
      <c r="U42" s="159"/>
      <c r="W42" s="26"/>
      <c r="X42" s="26"/>
    </row>
    <row r="43" spans="2:24" ht="15" customHeight="1">
      <c r="B43" s="31" t="s">
        <v>65</v>
      </c>
      <c r="C43" s="34">
        <v>11742</v>
      </c>
      <c r="D43" s="33">
        <v>50</v>
      </c>
      <c r="E43" s="33">
        <v>11668</v>
      </c>
      <c r="F43" s="33">
        <v>11468</v>
      </c>
      <c r="G43" s="33">
        <v>14</v>
      </c>
      <c r="H43" s="33">
        <v>10</v>
      </c>
      <c r="I43" s="160" t="s">
        <v>141</v>
      </c>
      <c r="J43" s="33"/>
      <c r="L43" s="182" t="s">
        <v>239</v>
      </c>
      <c r="N43" s="59"/>
      <c r="O43" s="59"/>
      <c r="P43" s="60"/>
      <c r="Q43" s="68"/>
      <c r="R43" s="57"/>
      <c r="S43" s="57"/>
      <c r="T43" s="58"/>
      <c r="U43" s="68"/>
      <c r="W43" s="26"/>
      <c r="X43" s="26"/>
    </row>
    <row r="44" spans="2:24" ht="15" customHeight="1">
      <c r="B44" s="31" t="s">
        <v>88</v>
      </c>
      <c r="C44" s="34">
        <v>29636</v>
      </c>
      <c r="D44" s="33">
        <v>531</v>
      </c>
      <c r="E44" s="33">
        <v>29007</v>
      </c>
      <c r="F44" s="33">
        <v>28877</v>
      </c>
      <c r="G44" s="33">
        <v>28</v>
      </c>
      <c r="H44" s="33">
        <v>70</v>
      </c>
      <c r="I44" s="160" t="s">
        <v>141</v>
      </c>
      <c r="J44" s="33"/>
      <c r="N44" s="59"/>
      <c r="O44" s="59"/>
      <c r="P44" s="60"/>
      <c r="Q44" s="197"/>
      <c r="R44" s="198"/>
      <c r="S44" s="198"/>
      <c r="T44" s="230"/>
      <c r="U44" s="197"/>
      <c r="W44" s="26"/>
      <c r="X44" s="26"/>
    </row>
    <row r="45" spans="2:24" ht="15" customHeight="1">
      <c r="B45" s="31" t="s">
        <v>217</v>
      </c>
      <c r="C45" s="34">
        <v>124291</v>
      </c>
      <c r="D45" s="33">
        <v>21873</v>
      </c>
      <c r="E45" s="33">
        <v>102337</v>
      </c>
      <c r="F45" s="33">
        <v>99369</v>
      </c>
      <c r="G45" s="33">
        <v>75</v>
      </c>
      <c r="H45" s="33">
        <v>6</v>
      </c>
      <c r="I45" s="160" t="s">
        <v>141</v>
      </c>
      <c r="J45" s="33"/>
      <c r="N45" s="59"/>
      <c r="O45" s="59"/>
      <c r="P45" s="60"/>
      <c r="Q45" s="197"/>
      <c r="R45" s="198"/>
      <c r="S45" s="198"/>
      <c r="T45" s="230"/>
      <c r="U45" s="197"/>
      <c r="W45" s="26"/>
      <c r="X45" s="26"/>
    </row>
    <row r="46" spans="2:24" ht="15" customHeight="1">
      <c r="B46" s="31" t="s">
        <v>218</v>
      </c>
      <c r="C46" s="34">
        <v>14750</v>
      </c>
      <c r="D46" s="33">
        <v>196</v>
      </c>
      <c r="E46" s="33">
        <v>14553</v>
      </c>
      <c r="F46" s="33">
        <v>11330</v>
      </c>
      <c r="G46" s="33">
        <v>1</v>
      </c>
      <c r="H46" s="160" t="s">
        <v>141</v>
      </c>
      <c r="I46" s="160" t="s">
        <v>141</v>
      </c>
      <c r="J46" s="33"/>
      <c r="M46" s="59"/>
      <c r="N46" s="59"/>
      <c r="P46" s="28"/>
      <c r="Q46" s="28"/>
      <c r="R46" s="29"/>
      <c r="S46" s="29"/>
      <c r="T46" s="28"/>
      <c r="U46" s="28"/>
      <c r="W46" s="26"/>
      <c r="X46" s="26"/>
    </row>
    <row r="47" spans="2:24" ht="15" customHeight="1">
      <c r="B47" s="31" t="s">
        <v>219</v>
      </c>
      <c r="C47" s="34">
        <v>10823</v>
      </c>
      <c r="D47" s="33">
        <v>2192</v>
      </c>
      <c r="E47" s="33">
        <v>8573</v>
      </c>
      <c r="F47" s="33">
        <v>8071</v>
      </c>
      <c r="G47" s="33">
        <v>22</v>
      </c>
      <c r="H47" s="33">
        <v>36</v>
      </c>
      <c r="I47" s="160" t="s">
        <v>141</v>
      </c>
      <c r="J47" s="34"/>
      <c r="L47" s="227"/>
      <c r="M47" s="203"/>
      <c r="N47" s="61"/>
      <c r="O47" s="35"/>
      <c r="P47" s="37"/>
      <c r="Q47" s="37"/>
      <c r="R47" s="35"/>
      <c r="S47" s="35"/>
      <c r="T47" s="37"/>
      <c r="U47" s="37"/>
      <c r="W47" s="26"/>
      <c r="X47" s="26"/>
    </row>
    <row r="48" spans="2:24" ht="15" customHeight="1">
      <c r="B48" s="46" t="s">
        <v>89</v>
      </c>
      <c r="C48" s="34">
        <v>14113</v>
      </c>
      <c r="D48" s="33">
        <v>3578</v>
      </c>
      <c r="E48" s="33">
        <v>9138</v>
      </c>
      <c r="F48" s="33">
        <v>7850</v>
      </c>
      <c r="G48" s="33">
        <v>16</v>
      </c>
      <c r="H48" s="33">
        <v>1113</v>
      </c>
      <c r="I48" s="33">
        <v>268</v>
      </c>
      <c r="J48" s="34"/>
      <c r="L48" s="227"/>
      <c r="M48" s="203"/>
      <c r="N48" s="61"/>
      <c r="O48" s="35"/>
      <c r="P48" s="37"/>
      <c r="Q48" s="37"/>
      <c r="R48" s="35"/>
      <c r="S48" s="35"/>
      <c r="T48" s="37"/>
      <c r="U48" s="37"/>
      <c r="W48" s="26"/>
      <c r="X48" s="26"/>
    </row>
    <row r="49" spans="2:24" ht="15" customHeight="1">
      <c r="B49" s="31" t="s">
        <v>220</v>
      </c>
      <c r="C49" s="34">
        <v>56509</v>
      </c>
      <c r="D49" s="33">
        <v>18164</v>
      </c>
      <c r="E49" s="33">
        <v>37973</v>
      </c>
      <c r="F49" s="33">
        <v>37183</v>
      </c>
      <c r="G49" s="33">
        <v>63</v>
      </c>
      <c r="H49" s="33">
        <v>307</v>
      </c>
      <c r="I49" s="33">
        <v>2</v>
      </c>
      <c r="J49" s="34"/>
      <c r="L49" s="227"/>
      <c r="M49" s="203"/>
      <c r="N49" s="61"/>
      <c r="O49" s="35"/>
      <c r="P49" s="37"/>
      <c r="Q49" s="37"/>
      <c r="R49" s="35"/>
      <c r="S49" s="35"/>
      <c r="T49" s="37"/>
      <c r="U49" s="37"/>
      <c r="W49" s="26"/>
      <c r="X49" s="26"/>
    </row>
    <row r="50" spans="2:24" ht="15" customHeight="1">
      <c r="B50" s="46" t="s">
        <v>221</v>
      </c>
      <c r="C50" s="34">
        <v>24659</v>
      </c>
      <c r="D50" s="33">
        <v>8027</v>
      </c>
      <c r="E50" s="33">
        <v>16148</v>
      </c>
      <c r="F50" s="33">
        <v>15574</v>
      </c>
      <c r="G50" s="33">
        <v>109</v>
      </c>
      <c r="H50" s="33">
        <v>373</v>
      </c>
      <c r="I50" s="33">
        <v>2</v>
      </c>
      <c r="J50" s="34"/>
      <c r="L50" s="227"/>
      <c r="M50" s="203"/>
      <c r="N50" s="61"/>
      <c r="O50" s="35"/>
      <c r="P50" s="37"/>
      <c r="Q50" s="37"/>
      <c r="R50" s="35"/>
      <c r="S50" s="35"/>
      <c r="T50" s="37"/>
      <c r="U50" s="37"/>
      <c r="W50" s="26"/>
      <c r="X50" s="26"/>
    </row>
    <row r="51" spans="2:24" ht="15" customHeight="1">
      <c r="B51" s="31" t="s">
        <v>216</v>
      </c>
      <c r="C51" s="34">
        <v>29643</v>
      </c>
      <c r="D51" s="33">
        <v>2489</v>
      </c>
      <c r="E51" s="33">
        <v>13513</v>
      </c>
      <c r="F51" s="33">
        <v>2689</v>
      </c>
      <c r="G51" s="33">
        <v>36</v>
      </c>
      <c r="H51" s="33">
        <v>13564</v>
      </c>
      <c r="I51" s="33">
        <v>41</v>
      </c>
      <c r="J51" s="34"/>
      <c r="L51" s="227"/>
      <c r="M51" s="203"/>
      <c r="N51" s="61"/>
      <c r="O51" s="35"/>
      <c r="P51" s="37"/>
      <c r="Q51" s="37"/>
      <c r="R51" s="35"/>
      <c r="S51" s="35"/>
      <c r="T51" s="37"/>
      <c r="U51" s="37"/>
      <c r="W51" s="26"/>
      <c r="X51" s="26"/>
    </row>
    <row r="52" spans="2:24" ht="15" customHeight="1">
      <c r="B52" s="31" t="s">
        <v>90</v>
      </c>
      <c r="C52" s="34">
        <v>63654</v>
      </c>
      <c r="D52" s="33">
        <v>6822</v>
      </c>
      <c r="E52" s="33">
        <v>46471</v>
      </c>
      <c r="F52" s="33">
        <v>4599</v>
      </c>
      <c r="G52" s="33">
        <v>281</v>
      </c>
      <c r="H52" s="33">
        <v>9850</v>
      </c>
      <c r="I52" s="33">
        <v>230</v>
      </c>
      <c r="J52" s="34"/>
      <c r="L52" s="227"/>
      <c r="M52" s="203"/>
      <c r="N52" s="61"/>
      <c r="O52" s="35"/>
      <c r="P52" s="37"/>
      <c r="Q52" s="37"/>
      <c r="R52" s="35"/>
      <c r="S52" s="35"/>
      <c r="T52" s="37"/>
      <c r="U52" s="37"/>
      <c r="W52" s="26"/>
      <c r="X52" s="26"/>
    </row>
    <row r="53" spans="2:24" ht="15" customHeight="1">
      <c r="B53" s="31" t="s">
        <v>180</v>
      </c>
      <c r="C53" s="34">
        <v>5465</v>
      </c>
      <c r="D53" s="33">
        <v>147</v>
      </c>
      <c r="E53" s="33">
        <v>5318</v>
      </c>
      <c r="F53" s="33">
        <v>1940</v>
      </c>
      <c r="G53" s="160" t="s">
        <v>141</v>
      </c>
      <c r="H53" s="160" t="s">
        <v>141</v>
      </c>
      <c r="I53" s="160" t="s">
        <v>141</v>
      </c>
      <c r="J53" s="34"/>
      <c r="L53" s="152"/>
      <c r="M53" s="151"/>
      <c r="N53" s="61"/>
      <c r="O53" s="35"/>
      <c r="P53" s="37"/>
      <c r="Q53" s="37"/>
      <c r="R53" s="35"/>
      <c r="S53" s="35"/>
      <c r="T53" s="37"/>
      <c r="U53" s="37"/>
      <c r="W53" s="26"/>
      <c r="X53" s="26"/>
    </row>
    <row r="54" spans="2:24" ht="15" customHeight="1">
      <c r="B54" s="46" t="s">
        <v>196</v>
      </c>
      <c r="C54" s="34">
        <v>41962</v>
      </c>
      <c r="D54" s="33">
        <v>1369</v>
      </c>
      <c r="E54" s="33">
        <v>39086</v>
      </c>
      <c r="F54" s="33">
        <v>31599</v>
      </c>
      <c r="G54" s="33">
        <v>652</v>
      </c>
      <c r="H54" s="33">
        <v>851</v>
      </c>
      <c r="I54" s="33">
        <v>4</v>
      </c>
      <c r="J54" s="34"/>
      <c r="L54" s="152"/>
      <c r="M54" s="151"/>
      <c r="N54" s="61"/>
      <c r="O54" s="35"/>
      <c r="P54" s="37"/>
      <c r="Q54" s="37"/>
      <c r="R54" s="35"/>
      <c r="S54" s="35"/>
      <c r="T54" s="37"/>
      <c r="U54" s="37"/>
      <c r="W54" s="26"/>
      <c r="X54" s="26"/>
    </row>
    <row r="55" spans="2:24" ht="15" customHeight="1">
      <c r="B55" s="49" t="s">
        <v>173</v>
      </c>
      <c r="C55" s="52">
        <v>18241</v>
      </c>
      <c r="D55" s="161" t="s">
        <v>141</v>
      </c>
      <c r="E55" s="161" t="s">
        <v>141</v>
      </c>
      <c r="F55" s="161" t="s">
        <v>141</v>
      </c>
      <c r="G55" s="161" t="s">
        <v>141</v>
      </c>
      <c r="H55" s="51">
        <v>12184</v>
      </c>
      <c r="I55" s="51">
        <v>6057</v>
      </c>
      <c r="J55" s="34"/>
      <c r="L55" s="227"/>
      <c r="M55" s="203"/>
      <c r="N55" s="61"/>
      <c r="O55" s="35"/>
      <c r="P55" s="37"/>
      <c r="Q55" s="37"/>
      <c r="R55" s="35"/>
      <c r="S55" s="35"/>
      <c r="T55" s="37"/>
      <c r="U55" s="37"/>
      <c r="W55" s="26"/>
      <c r="X55" s="26"/>
    </row>
    <row r="56" spans="1:24" ht="15" customHeight="1">
      <c r="A56" s="182" t="s">
        <v>81</v>
      </c>
      <c r="C56" s="53"/>
      <c r="D56" s="53"/>
      <c r="E56" s="53"/>
      <c r="F56" s="53"/>
      <c r="G56" s="53"/>
      <c r="H56" s="53"/>
      <c r="I56" s="53"/>
      <c r="J56" s="34"/>
      <c r="L56" s="227"/>
      <c r="M56" s="203"/>
      <c r="N56" s="61"/>
      <c r="O56" s="35"/>
      <c r="P56" s="37"/>
      <c r="Q56" s="37"/>
      <c r="R56" s="35"/>
      <c r="S56" s="35"/>
      <c r="T56" s="37"/>
      <c r="U56" s="37"/>
      <c r="W56" s="26"/>
      <c r="X56" s="26"/>
    </row>
    <row r="57" spans="3:24" ht="15" customHeight="1">
      <c r="C57" s="53"/>
      <c r="D57" s="53"/>
      <c r="E57" s="53"/>
      <c r="F57" s="53"/>
      <c r="G57" s="53"/>
      <c r="H57" s="53"/>
      <c r="I57" s="53"/>
      <c r="J57" s="34"/>
      <c r="L57" s="227"/>
      <c r="M57" s="203"/>
      <c r="N57" s="61"/>
      <c r="O57" s="35"/>
      <c r="P57" s="37"/>
      <c r="Q57" s="37"/>
      <c r="R57" s="35"/>
      <c r="S57" s="35"/>
      <c r="T57" s="37"/>
      <c r="U57" s="37"/>
      <c r="W57" s="26"/>
      <c r="X57" s="26"/>
    </row>
    <row r="58" spans="3:24" ht="15" customHeight="1">
      <c r="C58" s="53"/>
      <c r="D58" s="53"/>
      <c r="E58" s="53"/>
      <c r="F58" s="53"/>
      <c r="G58" s="53"/>
      <c r="H58" s="53"/>
      <c r="I58" s="53"/>
      <c r="J58" s="39"/>
      <c r="L58" s="227"/>
      <c r="M58" s="203"/>
      <c r="N58" s="61"/>
      <c r="O58" s="35"/>
      <c r="P58" s="37"/>
      <c r="Q58" s="37"/>
      <c r="R58" s="35"/>
      <c r="S58" s="35"/>
      <c r="T58" s="37"/>
      <c r="U58" s="37"/>
      <c r="W58" s="26"/>
      <c r="X58" s="26"/>
    </row>
    <row r="59" spans="2:24" ht="15" customHeight="1">
      <c r="B59" s="9" t="s">
        <v>92</v>
      </c>
      <c r="C59" s="53"/>
      <c r="D59" s="53"/>
      <c r="E59" s="53"/>
      <c r="F59" s="53"/>
      <c r="G59" s="53"/>
      <c r="H59" s="53"/>
      <c r="I59" s="53"/>
      <c r="L59" s="227"/>
      <c r="M59" s="203"/>
      <c r="N59" s="61"/>
      <c r="O59" s="35"/>
      <c r="P59" s="37"/>
      <c r="Q59" s="37"/>
      <c r="R59" s="35"/>
      <c r="S59" s="35"/>
      <c r="T59" s="37"/>
      <c r="U59" s="37"/>
      <c r="W59" s="26"/>
      <c r="X59" s="26"/>
    </row>
    <row r="60" spans="3:24" ht="15" customHeight="1" thickBot="1">
      <c r="C60" s="53"/>
      <c r="D60" s="53"/>
      <c r="E60" s="53"/>
      <c r="F60" s="53"/>
      <c r="G60" s="53"/>
      <c r="H60" s="53"/>
      <c r="I60" s="53"/>
      <c r="J60" s="12" t="s">
        <v>115</v>
      </c>
      <c r="L60" s="227"/>
      <c r="M60" s="203"/>
      <c r="N60" s="61"/>
      <c r="O60" s="35"/>
      <c r="P60" s="37"/>
      <c r="Q60" s="37"/>
      <c r="R60" s="35"/>
      <c r="S60" s="35"/>
      <c r="T60" s="37"/>
      <c r="U60" s="37"/>
      <c r="W60" s="26"/>
      <c r="X60" s="26"/>
    </row>
    <row r="61" spans="1:24" ht="15" customHeight="1">
      <c r="A61" s="219" t="s">
        <v>254</v>
      </c>
      <c r="B61" s="280"/>
      <c r="C61" s="278" t="s">
        <v>23</v>
      </c>
      <c r="D61" s="283" t="s">
        <v>24</v>
      </c>
      <c r="E61" s="278" t="s">
        <v>25</v>
      </c>
      <c r="F61" s="267" t="s">
        <v>26</v>
      </c>
      <c r="G61" s="267"/>
      <c r="H61" s="268"/>
      <c r="I61" s="174"/>
      <c r="J61" s="254" t="s">
        <v>152</v>
      </c>
      <c r="M61" s="62"/>
      <c r="N61" s="63"/>
      <c r="O61" s="47"/>
      <c r="P61" s="45"/>
      <c r="Q61" s="45"/>
      <c r="R61" s="47"/>
      <c r="S61" s="47"/>
      <c r="T61" s="45"/>
      <c r="U61" s="45"/>
      <c r="W61" s="26"/>
      <c r="X61" s="26"/>
    </row>
    <row r="62" spans="1:24" ht="15" customHeight="1">
      <c r="A62" s="221"/>
      <c r="B62" s="281"/>
      <c r="C62" s="279"/>
      <c r="D62" s="284"/>
      <c r="E62" s="279"/>
      <c r="F62" s="252" t="s">
        <v>255</v>
      </c>
      <c r="G62" s="257" t="s">
        <v>153</v>
      </c>
      <c r="H62" s="259" t="s">
        <v>174</v>
      </c>
      <c r="I62" s="175" t="s">
        <v>27</v>
      </c>
      <c r="J62" s="255"/>
      <c r="L62" s="227"/>
      <c r="M62" s="203"/>
      <c r="N62" s="61"/>
      <c r="O62" s="35"/>
      <c r="P62" s="37"/>
      <c r="Q62" s="37"/>
      <c r="R62" s="35"/>
      <c r="S62" s="35"/>
      <c r="T62" s="37"/>
      <c r="U62" s="37"/>
      <c r="W62" s="26"/>
      <c r="X62" s="26"/>
    </row>
    <row r="63" spans="1:24" ht="15" customHeight="1">
      <c r="A63" s="223"/>
      <c r="B63" s="282"/>
      <c r="C63" s="253"/>
      <c r="D63" s="285"/>
      <c r="E63" s="253"/>
      <c r="F63" s="253"/>
      <c r="G63" s="258"/>
      <c r="H63" s="260"/>
      <c r="I63" s="176"/>
      <c r="J63" s="256"/>
      <c r="M63" s="62"/>
      <c r="N63" s="63"/>
      <c r="O63" s="47"/>
      <c r="P63" s="45"/>
      <c r="Q63" s="45"/>
      <c r="R63" s="47"/>
      <c r="S63" s="47"/>
      <c r="T63" s="45"/>
      <c r="U63" s="45"/>
      <c r="W63" s="26"/>
      <c r="X63" s="26"/>
    </row>
    <row r="64" spans="1:24" ht="15" customHeight="1">
      <c r="A64" s="276" t="s">
        <v>190</v>
      </c>
      <c r="B64" s="277"/>
      <c r="C64" s="64">
        <v>609917</v>
      </c>
      <c r="D64" s="64">
        <f>29467+8901</f>
        <v>38368</v>
      </c>
      <c r="E64" s="64">
        <v>45530</v>
      </c>
      <c r="F64" s="65">
        <v>496451</v>
      </c>
      <c r="G64" s="64">
        <v>343271</v>
      </c>
      <c r="H64" s="64">
        <v>153180</v>
      </c>
      <c r="I64" s="64">
        <v>29568</v>
      </c>
      <c r="J64" s="64">
        <v>13910</v>
      </c>
      <c r="M64" s="62"/>
      <c r="N64" s="63"/>
      <c r="O64" s="47"/>
      <c r="P64" s="45"/>
      <c r="Q64" s="45"/>
      <c r="R64" s="47"/>
      <c r="S64" s="47"/>
      <c r="T64" s="45"/>
      <c r="U64" s="45"/>
      <c r="W64" s="26"/>
      <c r="X64" s="26"/>
    </row>
    <row r="65" spans="1:24" ht="19.5" customHeight="1">
      <c r="A65" s="201" t="s">
        <v>56</v>
      </c>
      <c r="B65" s="202"/>
      <c r="C65" s="34">
        <f>3157+1445</f>
        <v>4602</v>
      </c>
      <c r="D65" s="160" t="s">
        <v>141</v>
      </c>
      <c r="E65" s="33">
        <f>647+201</f>
        <v>848</v>
      </c>
      <c r="F65" s="33">
        <f>1850+1053</f>
        <v>2903</v>
      </c>
      <c r="G65" s="33">
        <f>1226+856</f>
        <v>2082</v>
      </c>
      <c r="H65" s="33">
        <f>624+197</f>
        <v>821</v>
      </c>
      <c r="I65" s="33">
        <f>660+191</f>
        <v>851</v>
      </c>
      <c r="J65" s="33">
        <f>32+8</f>
        <v>40</v>
      </c>
      <c r="L65" s="227"/>
      <c r="M65" s="203"/>
      <c r="N65" s="61"/>
      <c r="O65" s="35"/>
      <c r="P65" s="37"/>
      <c r="Q65" s="37"/>
      <c r="R65" s="35"/>
      <c r="S65" s="35"/>
      <c r="T65" s="37"/>
      <c r="U65" s="37"/>
      <c r="W65" s="26"/>
      <c r="X65" s="26"/>
    </row>
    <row r="66" spans="1:24" ht="18" customHeight="1">
      <c r="A66" s="201" t="s">
        <v>59</v>
      </c>
      <c r="B66" s="202"/>
      <c r="C66" s="34">
        <f>C64-C65</f>
        <v>605315</v>
      </c>
      <c r="D66" s="34">
        <v>38368</v>
      </c>
      <c r="E66" s="34">
        <f aca="true" t="shared" si="4" ref="E66:J66">E64-E65</f>
        <v>44682</v>
      </c>
      <c r="F66" s="34">
        <f t="shared" si="4"/>
        <v>493548</v>
      </c>
      <c r="G66" s="34">
        <f t="shared" si="4"/>
        <v>341189</v>
      </c>
      <c r="H66" s="34">
        <f t="shared" si="4"/>
        <v>152359</v>
      </c>
      <c r="I66" s="34">
        <f t="shared" si="4"/>
        <v>28717</v>
      </c>
      <c r="J66" s="34">
        <f t="shared" si="4"/>
        <v>13870</v>
      </c>
      <c r="K66" s="66"/>
      <c r="M66" s="62"/>
      <c r="N66" s="63"/>
      <c r="O66" s="47"/>
      <c r="P66" s="45"/>
      <c r="Q66" s="45"/>
      <c r="R66" s="47"/>
      <c r="S66" s="47"/>
      <c r="T66" s="45"/>
      <c r="U66" s="45"/>
      <c r="W66" s="26"/>
      <c r="X66" s="26"/>
    </row>
    <row r="67" spans="1:24" ht="15" customHeight="1">
      <c r="A67" s="153"/>
      <c r="B67" s="31" t="s">
        <v>247</v>
      </c>
      <c r="C67" s="34">
        <v>295</v>
      </c>
      <c r="D67" s="33">
        <f>3+2</f>
        <v>5</v>
      </c>
      <c r="E67" s="33">
        <v>79</v>
      </c>
      <c r="F67" s="33">
        <v>201</v>
      </c>
      <c r="G67" s="33">
        <v>168</v>
      </c>
      <c r="H67" s="33">
        <v>33</v>
      </c>
      <c r="I67" s="33">
        <v>10</v>
      </c>
      <c r="J67" s="33">
        <v>13</v>
      </c>
      <c r="M67" s="62"/>
      <c r="N67" s="63"/>
      <c r="O67" s="47"/>
      <c r="P67" s="45"/>
      <c r="Q67" s="45"/>
      <c r="R67" s="47"/>
      <c r="S67" s="47"/>
      <c r="T67" s="45"/>
      <c r="U67" s="45"/>
      <c r="W67" s="26"/>
      <c r="X67" s="26"/>
    </row>
    <row r="68" spans="1:24" ht="15" customHeight="1">
      <c r="A68" s="153"/>
      <c r="B68" s="31" t="s">
        <v>100</v>
      </c>
      <c r="C68" s="34">
        <v>47965</v>
      </c>
      <c r="D68" s="33">
        <f>3160+776</f>
        <v>3936</v>
      </c>
      <c r="E68" s="33">
        <v>7882</v>
      </c>
      <c r="F68" s="33">
        <v>34202</v>
      </c>
      <c r="G68" s="33">
        <v>29371</v>
      </c>
      <c r="H68" s="33">
        <v>4831</v>
      </c>
      <c r="I68" s="33">
        <v>1945</v>
      </c>
      <c r="J68" s="33">
        <v>1094</v>
      </c>
      <c r="L68" s="227"/>
      <c r="M68" s="203"/>
      <c r="N68" s="61"/>
      <c r="O68" s="35"/>
      <c r="P68" s="37"/>
      <c r="Q68" s="37"/>
      <c r="R68" s="35"/>
      <c r="S68" s="35"/>
      <c r="T68" s="37"/>
      <c r="U68" s="37"/>
      <c r="W68" s="26"/>
      <c r="X68" s="26"/>
    </row>
    <row r="69" spans="2:24" ht="15" customHeight="1">
      <c r="B69" s="31" t="s">
        <v>101</v>
      </c>
      <c r="C69" s="34">
        <v>109007</v>
      </c>
      <c r="D69" s="33">
        <f>3674+1488</f>
        <v>5162</v>
      </c>
      <c r="E69" s="33">
        <v>8357</v>
      </c>
      <c r="F69" s="33">
        <v>93368</v>
      </c>
      <c r="G69" s="33">
        <v>77558</v>
      </c>
      <c r="H69" s="33">
        <v>15810</v>
      </c>
      <c r="I69" s="33">
        <v>2120</v>
      </c>
      <c r="J69" s="33">
        <v>3137</v>
      </c>
      <c r="M69" s="62"/>
      <c r="N69" s="63"/>
      <c r="O69" s="47"/>
      <c r="P69" s="45"/>
      <c r="Q69" s="45"/>
      <c r="R69" s="47"/>
      <c r="S69" s="47"/>
      <c r="T69" s="45"/>
      <c r="U69" s="45"/>
      <c r="W69" s="26"/>
      <c r="X69" s="26"/>
    </row>
    <row r="70" spans="2:24" ht="15" customHeight="1">
      <c r="B70" s="42" t="s">
        <v>63</v>
      </c>
      <c r="C70" s="34">
        <v>2560</v>
      </c>
      <c r="D70" s="33" t="s">
        <v>141</v>
      </c>
      <c r="E70" s="33">
        <v>15</v>
      </c>
      <c r="F70" s="33">
        <v>2531</v>
      </c>
      <c r="G70" s="33">
        <v>2392</v>
      </c>
      <c r="H70" s="33">
        <v>139</v>
      </c>
      <c r="I70" s="33">
        <v>14</v>
      </c>
      <c r="J70" s="33">
        <v>91</v>
      </c>
      <c r="M70" s="62"/>
      <c r="N70" s="63"/>
      <c r="O70" s="47"/>
      <c r="P70" s="45"/>
      <c r="Q70" s="45"/>
      <c r="R70" s="47"/>
      <c r="S70" s="47"/>
      <c r="T70" s="45"/>
      <c r="U70" s="45"/>
      <c r="W70" s="26"/>
      <c r="X70" s="26"/>
    </row>
    <row r="71" spans="2:24" ht="15" customHeight="1">
      <c r="B71" s="31" t="s">
        <v>65</v>
      </c>
      <c r="C71" s="34">
        <v>11742</v>
      </c>
      <c r="D71" s="33">
        <f>33+4</f>
        <v>37</v>
      </c>
      <c r="E71" s="33">
        <v>686</v>
      </c>
      <c r="F71" s="33">
        <v>10825</v>
      </c>
      <c r="G71" s="33">
        <v>9398</v>
      </c>
      <c r="H71" s="33">
        <v>1427</v>
      </c>
      <c r="I71" s="33">
        <v>194</v>
      </c>
      <c r="J71" s="33">
        <v>1466</v>
      </c>
      <c r="M71" s="62"/>
      <c r="N71" s="63"/>
      <c r="O71" s="47"/>
      <c r="P71" s="45"/>
      <c r="Q71" s="45"/>
      <c r="R71" s="47"/>
      <c r="S71" s="47"/>
      <c r="T71" s="45"/>
      <c r="U71" s="45"/>
      <c r="W71" s="26"/>
      <c r="X71" s="26"/>
    </row>
    <row r="72" spans="2:24" ht="15" customHeight="1">
      <c r="B72" s="31" t="s">
        <v>88</v>
      </c>
      <c r="C72" s="34">
        <v>29636</v>
      </c>
      <c r="D72" s="33">
        <f>308+72</f>
        <v>380</v>
      </c>
      <c r="E72" s="33">
        <v>1488</v>
      </c>
      <c r="F72" s="33">
        <v>26692</v>
      </c>
      <c r="G72" s="33">
        <v>19963</v>
      </c>
      <c r="H72" s="33">
        <v>6729</v>
      </c>
      <c r="I72" s="33">
        <v>1076</v>
      </c>
      <c r="J72" s="33">
        <v>831</v>
      </c>
      <c r="L72" s="227"/>
      <c r="M72" s="203"/>
      <c r="N72" s="61"/>
      <c r="O72" s="35"/>
      <c r="P72" s="37"/>
      <c r="Q72" s="37"/>
      <c r="R72" s="35"/>
      <c r="S72" s="35"/>
      <c r="T72" s="37"/>
      <c r="U72" s="37"/>
      <c r="W72" s="26"/>
      <c r="X72" s="26"/>
    </row>
    <row r="73" spans="2:24" ht="15" customHeight="1">
      <c r="B73" s="31" t="s">
        <v>217</v>
      </c>
      <c r="C73" s="34">
        <v>124291</v>
      </c>
      <c r="D73" s="33">
        <f>6992+2826</f>
        <v>9818</v>
      </c>
      <c r="E73" s="33">
        <v>10700</v>
      </c>
      <c r="F73" s="33">
        <v>97562</v>
      </c>
      <c r="G73" s="33">
        <v>55254</v>
      </c>
      <c r="H73" s="33">
        <v>42308</v>
      </c>
      <c r="I73" s="33">
        <v>6211</v>
      </c>
      <c r="J73" s="33">
        <v>2279</v>
      </c>
      <c r="M73" s="62"/>
      <c r="N73" s="63"/>
      <c r="O73" s="47"/>
      <c r="P73" s="45"/>
      <c r="Q73" s="45"/>
      <c r="R73" s="47"/>
      <c r="S73" s="47"/>
      <c r="T73" s="45"/>
      <c r="U73" s="45"/>
      <c r="W73" s="26"/>
      <c r="X73" s="26"/>
    </row>
    <row r="74" spans="2:24" ht="15" customHeight="1">
      <c r="B74" s="31" t="s">
        <v>218</v>
      </c>
      <c r="C74" s="34">
        <v>14750</v>
      </c>
      <c r="D74" s="33">
        <f>114+26</f>
        <v>140</v>
      </c>
      <c r="E74" s="33">
        <v>755</v>
      </c>
      <c r="F74" s="33">
        <v>13638</v>
      </c>
      <c r="G74" s="33">
        <v>10945</v>
      </c>
      <c r="H74" s="33">
        <v>2693</v>
      </c>
      <c r="I74" s="33">
        <v>217</v>
      </c>
      <c r="J74" s="33">
        <v>348</v>
      </c>
      <c r="M74" s="62"/>
      <c r="N74" s="63"/>
      <c r="O74" s="47"/>
      <c r="P74" s="45"/>
      <c r="Q74" s="45"/>
      <c r="R74" s="47"/>
      <c r="S74" s="47"/>
      <c r="T74" s="45"/>
      <c r="U74" s="45"/>
      <c r="W74" s="26"/>
      <c r="X74" s="26"/>
    </row>
    <row r="75" spans="2:24" ht="15" customHeight="1">
      <c r="B75" s="31" t="s">
        <v>219</v>
      </c>
      <c r="C75" s="34">
        <v>10823</v>
      </c>
      <c r="D75" s="33">
        <f>1400+393</f>
        <v>1793</v>
      </c>
      <c r="E75" s="33">
        <v>2868</v>
      </c>
      <c r="F75" s="33">
        <v>5870</v>
      </c>
      <c r="G75" s="33">
        <v>4204</v>
      </c>
      <c r="H75" s="33">
        <v>1666</v>
      </c>
      <c r="I75" s="33">
        <v>292</v>
      </c>
      <c r="J75" s="33">
        <v>366</v>
      </c>
      <c r="L75" s="227"/>
      <c r="M75" s="203"/>
      <c r="N75" s="61"/>
      <c r="O75" s="35"/>
      <c r="P75" s="37"/>
      <c r="Q75" s="37"/>
      <c r="R75" s="35"/>
      <c r="S75" s="35"/>
      <c r="T75" s="37"/>
      <c r="U75" s="37"/>
      <c r="W75" s="26"/>
      <c r="X75" s="26"/>
    </row>
    <row r="76" spans="2:24" ht="15" customHeight="1">
      <c r="B76" s="46" t="s">
        <v>89</v>
      </c>
      <c r="C76" s="34">
        <v>14113</v>
      </c>
      <c r="D76" s="33">
        <f>1205+231</f>
        <v>1436</v>
      </c>
      <c r="E76" s="33">
        <v>1677</v>
      </c>
      <c r="F76" s="33">
        <v>10552</v>
      </c>
      <c r="G76" s="33">
        <v>8838</v>
      </c>
      <c r="H76" s="33">
        <v>1714</v>
      </c>
      <c r="I76" s="33">
        <v>448</v>
      </c>
      <c r="J76" s="33">
        <v>199</v>
      </c>
      <c r="L76" s="227"/>
      <c r="M76" s="203"/>
      <c r="N76" s="61"/>
      <c r="O76" s="35"/>
      <c r="P76" s="37"/>
      <c r="Q76" s="37"/>
      <c r="R76" s="35"/>
      <c r="S76" s="35"/>
      <c r="T76" s="37"/>
      <c r="U76" s="37"/>
      <c r="W76" s="26"/>
      <c r="X76" s="26"/>
    </row>
    <row r="77" spans="2:24" ht="15" customHeight="1">
      <c r="B77" s="31" t="s">
        <v>220</v>
      </c>
      <c r="C77" s="34">
        <v>56509</v>
      </c>
      <c r="D77" s="33">
        <f>5289+1716</f>
        <v>7005</v>
      </c>
      <c r="E77" s="33">
        <v>2223</v>
      </c>
      <c r="F77" s="33">
        <v>41213</v>
      </c>
      <c r="G77" s="33">
        <v>13172</v>
      </c>
      <c r="H77" s="33">
        <v>28041</v>
      </c>
      <c r="I77" s="33">
        <v>6068</v>
      </c>
      <c r="J77" s="33">
        <v>731</v>
      </c>
      <c r="M77" s="62"/>
      <c r="N77" s="63"/>
      <c r="O77" s="47"/>
      <c r="P77" s="45"/>
      <c r="Q77" s="45"/>
      <c r="R77" s="47"/>
      <c r="S77" s="47"/>
      <c r="T77" s="45"/>
      <c r="U77" s="45"/>
      <c r="W77" s="26"/>
      <c r="X77" s="26"/>
    </row>
    <row r="78" spans="2:24" ht="15" customHeight="1">
      <c r="B78" s="46" t="s">
        <v>221</v>
      </c>
      <c r="C78" s="34">
        <v>24659</v>
      </c>
      <c r="D78" s="33">
        <f>3819+860</f>
        <v>4679</v>
      </c>
      <c r="E78" s="33">
        <v>1156</v>
      </c>
      <c r="F78" s="33">
        <v>17192</v>
      </c>
      <c r="G78" s="33">
        <v>9084</v>
      </c>
      <c r="H78" s="33">
        <v>8108</v>
      </c>
      <c r="I78" s="33">
        <v>1632</v>
      </c>
      <c r="J78" s="33">
        <v>830</v>
      </c>
      <c r="M78" s="62"/>
      <c r="N78" s="63"/>
      <c r="O78" s="47"/>
      <c r="P78" s="67"/>
      <c r="Q78" s="45"/>
      <c r="R78" s="47"/>
      <c r="S78" s="47"/>
      <c r="T78" s="45"/>
      <c r="U78" s="45"/>
      <c r="W78" s="26"/>
      <c r="X78" s="26"/>
    </row>
    <row r="79" spans="2:24" ht="15" customHeight="1">
      <c r="B79" s="31" t="s">
        <v>216</v>
      </c>
      <c r="C79" s="34">
        <v>29643</v>
      </c>
      <c r="D79" s="33">
        <f>1276+135</f>
        <v>1411</v>
      </c>
      <c r="E79" s="33">
        <v>362</v>
      </c>
      <c r="F79" s="33">
        <v>26062</v>
      </c>
      <c r="G79" s="33">
        <v>18638</v>
      </c>
      <c r="H79" s="33">
        <v>7424</v>
      </c>
      <c r="I79" s="33">
        <v>1808</v>
      </c>
      <c r="J79" s="33">
        <v>337</v>
      </c>
      <c r="L79" s="227"/>
      <c r="M79" s="203"/>
      <c r="N79" s="61"/>
      <c r="O79" s="35"/>
      <c r="P79" s="37"/>
      <c r="Q79" s="37"/>
      <c r="R79" s="35"/>
      <c r="S79" s="35"/>
      <c r="T79" s="37"/>
      <c r="U79" s="37"/>
      <c r="W79" s="26"/>
      <c r="X79" s="26"/>
    </row>
    <row r="80" spans="2:24" ht="15" customHeight="1">
      <c r="B80" s="31" t="s">
        <v>90</v>
      </c>
      <c r="C80" s="34">
        <v>63654</v>
      </c>
      <c r="D80" s="33">
        <f>1556+233</f>
        <v>1789</v>
      </c>
      <c r="E80" s="33">
        <v>1862</v>
      </c>
      <c r="F80" s="33">
        <v>57016</v>
      </c>
      <c r="G80" s="33">
        <v>43161</v>
      </c>
      <c r="H80" s="33">
        <v>13855</v>
      </c>
      <c r="I80" s="33">
        <v>2987</v>
      </c>
      <c r="J80" s="33">
        <v>806</v>
      </c>
      <c r="M80" s="62"/>
      <c r="N80" s="63"/>
      <c r="O80" s="47"/>
      <c r="P80" s="45"/>
      <c r="Q80" s="45"/>
      <c r="R80" s="47"/>
      <c r="S80" s="47"/>
      <c r="T80" s="45"/>
      <c r="U80" s="45"/>
      <c r="W80" s="26"/>
      <c r="X80" s="26"/>
    </row>
    <row r="81" spans="2:24" ht="15" customHeight="1">
      <c r="B81" s="31" t="s">
        <v>180</v>
      </c>
      <c r="C81" s="34">
        <v>5465</v>
      </c>
      <c r="D81" s="33">
        <f>61+15</f>
        <v>76</v>
      </c>
      <c r="E81" s="33">
        <v>324</v>
      </c>
      <c r="F81" s="33">
        <v>4984</v>
      </c>
      <c r="G81" s="33">
        <v>3924</v>
      </c>
      <c r="H81" s="33">
        <v>1060</v>
      </c>
      <c r="I81" s="33">
        <v>81</v>
      </c>
      <c r="J81" s="33">
        <v>43</v>
      </c>
      <c r="M81" s="62"/>
      <c r="N81" s="63"/>
      <c r="O81" s="63"/>
      <c r="P81" s="68"/>
      <c r="Q81" s="68"/>
      <c r="R81" s="63"/>
      <c r="S81" s="63"/>
      <c r="T81" s="68"/>
      <c r="U81" s="68"/>
      <c r="W81" s="26"/>
      <c r="X81" s="26"/>
    </row>
    <row r="82" spans="2:24" ht="15" customHeight="1">
      <c r="B82" s="46" t="s">
        <v>196</v>
      </c>
      <c r="C82" s="34">
        <v>41962</v>
      </c>
      <c r="D82" s="33">
        <f>577+124</f>
        <v>701</v>
      </c>
      <c r="E82" s="33">
        <v>4248</v>
      </c>
      <c r="F82" s="33">
        <v>33569</v>
      </c>
      <c r="G82" s="33">
        <v>18318</v>
      </c>
      <c r="H82" s="33">
        <v>15251</v>
      </c>
      <c r="I82" s="33">
        <v>3444</v>
      </c>
      <c r="J82" s="33">
        <v>1299</v>
      </c>
      <c r="M82" s="62"/>
      <c r="N82" s="63"/>
      <c r="O82" s="63"/>
      <c r="P82" s="68"/>
      <c r="Q82" s="68"/>
      <c r="R82" s="63"/>
      <c r="S82" s="63"/>
      <c r="T82" s="68"/>
      <c r="U82" s="68"/>
      <c r="W82" s="26"/>
      <c r="X82" s="26"/>
    </row>
    <row r="83" spans="2:24" ht="15" customHeight="1">
      <c r="B83" s="46" t="s">
        <v>173</v>
      </c>
      <c r="C83" s="32">
        <v>18241</v>
      </c>
      <c r="D83" s="33" t="s">
        <v>141</v>
      </c>
      <c r="E83" s="33" t="s">
        <v>141</v>
      </c>
      <c r="F83" s="33">
        <v>18071</v>
      </c>
      <c r="G83" s="169">
        <v>16801</v>
      </c>
      <c r="H83" s="169">
        <v>1270</v>
      </c>
      <c r="I83" s="15">
        <v>170</v>
      </c>
      <c r="J83" s="33" t="s">
        <v>141</v>
      </c>
      <c r="M83" s="62"/>
      <c r="N83" s="63"/>
      <c r="O83" s="63"/>
      <c r="P83" s="68"/>
      <c r="Q83" s="68"/>
      <c r="R83" s="63"/>
      <c r="S83" s="63"/>
      <c r="T83" s="68"/>
      <c r="U83" s="68"/>
      <c r="W83" s="26"/>
      <c r="X83" s="26"/>
    </row>
    <row r="84" spans="1:21" ht="15" customHeight="1">
      <c r="A84" s="182" t="s">
        <v>81</v>
      </c>
      <c r="B84" s="170"/>
      <c r="C84" s="171"/>
      <c r="D84" s="172"/>
      <c r="E84" s="172"/>
      <c r="F84" s="172"/>
      <c r="G84" s="172"/>
      <c r="H84" s="172"/>
      <c r="I84" s="172"/>
      <c r="J84" s="172"/>
      <c r="N84" s="59"/>
      <c r="O84" s="59"/>
      <c r="P84" s="60"/>
      <c r="Q84" s="60"/>
      <c r="R84" s="59"/>
      <c r="S84" s="59"/>
      <c r="T84" s="60"/>
      <c r="U84" s="60"/>
    </row>
    <row r="85" spans="1:21" ht="15" customHeight="1">
      <c r="A85" s="15"/>
      <c r="B85" s="173"/>
      <c r="C85" s="39"/>
      <c r="D85" s="33"/>
      <c r="E85" s="33"/>
      <c r="F85" s="33"/>
      <c r="G85" s="169"/>
      <c r="H85" s="169"/>
      <c r="I85" s="15"/>
      <c r="J85" s="33"/>
      <c r="N85" s="59"/>
      <c r="O85" s="59"/>
      <c r="P85" s="60"/>
      <c r="Q85" s="60"/>
      <c r="R85" s="59"/>
      <c r="S85" s="59"/>
      <c r="T85" s="60"/>
      <c r="U85" s="60"/>
    </row>
    <row r="86" spans="14:21" ht="15" customHeight="1">
      <c r="N86" s="59"/>
      <c r="O86" s="59"/>
      <c r="P86" s="60"/>
      <c r="Q86" s="60"/>
      <c r="R86" s="59"/>
      <c r="S86" s="59"/>
      <c r="T86" s="60"/>
      <c r="U86" s="60"/>
    </row>
    <row r="87" ht="15" customHeight="1">
      <c r="N87" s="59"/>
    </row>
    <row r="88" ht="12.75">
      <c r="N88" s="59"/>
    </row>
    <row r="89" ht="12.75">
      <c r="N89" s="59"/>
    </row>
    <row r="90" ht="12.75">
      <c r="N90" s="59"/>
    </row>
    <row r="91" ht="12.75">
      <c r="N91" s="59"/>
    </row>
    <row r="92" ht="12.75">
      <c r="N92" s="59"/>
    </row>
    <row r="93" ht="12.75">
      <c r="N93" s="59"/>
    </row>
    <row r="94" ht="12.75">
      <c r="N94" s="59"/>
    </row>
    <row r="95" ht="12.75">
      <c r="N95" s="59"/>
    </row>
    <row r="96" ht="12.75">
      <c r="N96" s="59"/>
    </row>
    <row r="97" ht="12.75">
      <c r="N97" s="59"/>
    </row>
    <row r="98" ht="12.75">
      <c r="N98" s="59"/>
    </row>
    <row r="99" ht="12.75">
      <c r="N99" s="59"/>
    </row>
    <row r="100" ht="12.75">
      <c r="N100" s="59"/>
    </row>
    <row r="101" ht="12.75">
      <c r="N101" s="59"/>
    </row>
    <row r="102" ht="12.75">
      <c r="N102" s="59"/>
    </row>
    <row r="103" ht="12.75">
      <c r="N103" s="59"/>
    </row>
    <row r="104" ht="12.75">
      <c r="N104" s="59"/>
    </row>
    <row r="105" ht="12.75">
      <c r="N105" s="59"/>
    </row>
    <row r="106" ht="12.75">
      <c r="N106" s="59"/>
    </row>
    <row r="107" ht="12.75">
      <c r="N107" s="59"/>
    </row>
    <row r="108" ht="12.75">
      <c r="N108" s="59"/>
    </row>
    <row r="109" ht="12.75">
      <c r="N109" s="59"/>
    </row>
    <row r="110" ht="12.75">
      <c r="N110" s="59"/>
    </row>
    <row r="111" ht="12.75">
      <c r="N111" s="59"/>
    </row>
    <row r="112" ht="12.75">
      <c r="N112" s="59"/>
    </row>
    <row r="113" ht="12.75">
      <c r="N113" s="59"/>
    </row>
    <row r="114" ht="12.75">
      <c r="N114" s="59"/>
    </row>
    <row r="115" ht="12.75">
      <c r="N115" s="59"/>
    </row>
    <row r="116" ht="12.75">
      <c r="N116" s="59"/>
    </row>
    <row r="117" ht="12.75">
      <c r="N117" s="59"/>
    </row>
    <row r="118" ht="12.75">
      <c r="N118" s="59"/>
    </row>
    <row r="119" ht="12.75">
      <c r="N119" s="59"/>
    </row>
    <row r="120" ht="12.75">
      <c r="N120" s="59"/>
    </row>
    <row r="121" ht="12.75">
      <c r="N121" s="59"/>
    </row>
    <row r="122" ht="12.75">
      <c r="N122" s="59"/>
    </row>
    <row r="123" ht="12.75">
      <c r="N123" s="59"/>
    </row>
    <row r="124" ht="12.75">
      <c r="N124" s="59"/>
    </row>
    <row r="125" ht="12.75">
      <c r="N125" s="59"/>
    </row>
    <row r="126" ht="12.75">
      <c r="N126" s="59"/>
    </row>
    <row r="127" ht="12.75">
      <c r="N127" s="59"/>
    </row>
    <row r="128" ht="12.75">
      <c r="N128" s="59"/>
    </row>
    <row r="129" ht="12.75">
      <c r="N129" s="59"/>
    </row>
    <row r="130" ht="12.75">
      <c r="N130" s="59"/>
    </row>
    <row r="131" ht="12.75">
      <c r="N131" s="59"/>
    </row>
    <row r="132" ht="12.75">
      <c r="N132" s="59"/>
    </row>
    <row r="133" ht="12.75">
      <c r="N133" s="59"/>
    </row>
    <row r="134" ht="12.75">
      <c r="N134" s="59"/>
    </row>
    <row r="135" ht="12.75">
      <c r="N135" s="59"/>
    </row>
    <row r="136" ht="12.75">
      <c r="N136" s="59"/>
    </row>
    <row r="137" ht="12.75">
      <c r="N137" s="59"/>
    </row>
    <row r="138" ht="12.75">
      <c r="N138" s="59"/>
    </row>
    <row r="139" ht="12.75">
      <c r="N139" s="59"/>
    </row>
    <row r="140" ht="12.75">
      <c r="N140" s="59"/>
    </row>
    <row r="141" ht="12.75">
      <c r="N141" s="59"/>
    </row>
    <row r="142" ht="12.75">
      <c r="N142" s="59"/>
    </row>
    <row r="143" ht="12.75">
      <c r="N143" s="59"/>
    </row>
    <row r="144" ht="12.75">
      <c r="N144" s="59"/>
    </row>
    <row r="145" ht="12.75">
      <c r="N145" s="59"/>
    </row>
    <row r="146" ht="12.75">
      <c r="N146" s="59"/>
    </row>
    <row r="147" ht="12.75">
      <c r="N147" s="59"/>
    </row>
    <row r="148" ht="12.75">
      <c r="N148" s="59"/>
    </row>
    <row r="149" ht="12.75">
      <c r="N149" s="59"/>
    </row>
    <row r="150" ht="12.75">
      <c r="N150" s="59"/>
    </row>
    <row r="151" ht="12.75">
      <c r="N151" s="59"/>
    </row>
    <row r="152" ht="12.75">
      <c r="N152" s="59"/>
    </row>
    <row r="153" ht="12.75">
      <c r="N153" s="59"/>
    </row>
    <row r="154" ht="12.75">
      <c r="N154" s="59"/>
    </row>
    <row r="155" ht="12.75">
      <c r="N155" s="59"/>
    </row>
    <row r="156" ht="12.75">
      <c r="N156" s="59"/>
    </row>
    <row r="157" ht="12.75">
      <c r="N157" s="59"/>
    </row>
    <row r="158" ht="12.75">
      <c r="N158" s="59"/>
    </row>
    <row r="159" ht="12.75">
      <c r="N159" s="59"/>
    </row>
    <row r="160" ht="12.75">
      <c r="N160" s="59"/>
    </row>
    <row r="161" ht="12.75">
      <c r="N161" s="59"/>
    </row>
    <row r="162" ht="12.75">
      <c r="N162" s="59"/>
    </row>
    <row r="163" ht="12.75">
      <c r="N163" s="59"/>
    </row>
  </sheetData>
  <sheetProtection/>
  <mergeCells count="92">
    <mergeCell ref="A64:B64"/>
    <mergeCell ref="A65:B65"/>
    <mergeCell ref="E61:E63"/>
    <mergeCell ref="A36:B36"/>
    <mergeCell ref="A61:B63"/>
    <mergeCell ref="C61:C63"/>
    <mergeCell ref="D61:D63"/>
    <mergeCell ref="A38:B38"/>
    <mergeCell ref="L27:M27"/>
    <mergeCell ref="D34:D35"/>
    <mergeCell ref="E34:E35"/>
    <mergeCell ref="L32:M32"/>
    <mergeCell ref="G34:G35"/>
    <mergeCell ref="H33:H35"/>
    <mergeCell ref="L36:M36"/>
    <mergeCell ref="C33:C35"/>
    <mergeCell ref="D33:G33"/>
    <mergeCell ref="F61:H61"/>
    <mergeCell ref="F62:F63"/>
    <mergeCell ref="J61:J63"/>
    <mergeCell ref="L51:M51"/>
    <mergeCell ref="G62:G63"/>
    <mergeCell ref="H62:H63"/>
    <mergeCell ref="Q44:Q45"/>
    <mergeCell ref="L49:M49"/>
    <mergeCell ref="L38:M38"/>
    <mergeCell ref="L59:M59"/>
    <mergeCell ref="L55:M55"/>
    <mergeCell ref="L56:M56"/>
    <mergeCell ref="L57:M57"/>
    <mergeCell ref="L58:M58"/>
    <mergeCell ref="L50:M50"/>
    <mergeCell ref="S44:S45"/>
    <mergeCell ref="T44:T45"/>
    <mergeCell ref="A2:U2"/>
    <mergeCell ref="A5:B7"/>
    <mergeCell ref="C5:C7"/>
    <mergeCell ref="D5:G5"/>
    <mergeCell ref="H5:H7"/>
    <mergeCell ref="L3:U3"/>
    <mergeCell ref="L5:M7"/>
    <mergeCell ref="E6:E7"/>
    <mergeCell ref="W6:X6"/>
    <mergeCell ref="S6:S7"/>
    <mergeCell ref="R6:R7"/>
    <mergeCell ref="U6:U7"/>
    <mergeCell ref="T6:T7"/>
    <mergeCell ref="L79:M79"/>
    <mergeCell ref="L75:M75"/>
    <mergeCell ref="L76:M76"/>
    <mergeCell ref="L48:M48"/>
    <mergeCell ref="L60:M60"/>
    <mergeCell ref="D6:D7"/>
    <mergeCell ref="R5:U5"/>
    <mergeCell ref="Q6:Q7"/>
    <mergeCell ref="U44:U45"/>
    <mergeCell ref="R44:R45"/>
    <mergeCell ref="L16:M16"/>
    <mergeCell ref="L14:M14"/>
    <mergeCell ref="L22:M22"/>
    <mergeCell ref="L25:M25"/>
    <mergeCell ref="L28:M28"/>
    <mergeCell ref="A33:B35"/>
    <mergeCell ref="A37:B37"/>
    <mergeCell ref="L72:M72"/>
    <mergeCell ref="A66:B66"/>
    <mergeCell ref="L39:M39"/>
    <mergeCell ref="L52:M52"/>
    <mergeCell ref="L68:M68"/>
    <mergeCell ref="L65:M65"/>
    <mergeCell ref="L62:M62"/>
    <mergeCell ref="L47:M47"/>
    <mergeCell ref="L11:M11"/>
    <mergeCell ref="L12:M12"/>
    <mergeCell ref="L13:M13"/>
    <mergeCell ref="L17:M17"/>
    <mergeCell ref="L15:M15"/>
    <mergeCell ref="L18:M18"/>
    <mergeCell ref="L19:M19"/>
    <mergeCell ref="L21:M21"/>
    <mergeCell ref="L24:M24"/>
    <mergeCell ref="L20:M20"/>
    <mergeCell ref="A9:B9"/>
    <mergeCell ref="A10:B10"/>
    <mergeCell ref="L9:M9"/>
    <mergeCell ref="N5:Q5"/>
    <mergeCell ref="G6:G7"/>
    <mergeCell ref="P6:P7"/>
    <mergeCell ref="L10:M10"/>
    <mergeCell ref="A8:B8"/>
    <mergeCell ref="N6:N7"/>
    <mergeCell ref="O6:O7"/>
  </mergeCells>
  <printOptions/>
  <pageMargins left="1.4960629921259843" right="0.11811023622047245" top="0.5118110236220472" bottom="0" header="0.5118110236220472" footer="0.5118110236220472"/>
  <pageSetup horizontalDpi="300" verticalDpi="3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8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.69921875" style="7" customWidth="1"/>
    <col min="2" max="3" width="9.69921875" style="7" customWidth="1"/>
    <col min="4" max="4" width="12.19921875" style="7" customWidth="1"/>
    <col min="5" max="6" width="9.69921875" style="7" customWidth="1"/>
    <col min="7" max="7" width="11.19921875" style="7" customWidth="1"/>
    <col min="8" max="8" width="10.69921875" style="7" customWidth="1"/>
    <col min="9" max="13" width="9.69921875" style="7" customWidth="1"/>
    <col min="14" max="14" width="10.69921875" style="7" customWidth="1"/>
    <col min="15" max="16" width="9.796875" style="7" customWidth="1"/>
    <col min="17" max="19" width="9.69921875" style="7" customWidth="1"/>
    <col min="20" max="20" width="10.19921875" style="7" customWidth="1"/>
    <col min="21" max="21" width="9.69921875" style="7" customWidth="1"/>
    <col min="22" max="22" width="9.796875" style="7" customWidth="1"/>
    <col min="23" max="23" width="9.19921875" style="7" customWidth="1"/>
    <col min="24" max="42" width="9.69921875" style="7" customWidth="1"/>
    <col min="43" max="16384" width="10.69921875" style="7" customWidth="1"/>
  </cols>
  <sheetData>
    <row r="1" spans="1:42" ht="19.5" customHeight="1">
      <c r="A1" s="117" t="s">
        <v>261</v>
      </c>
      <c r="AG1" s="2"/>
      <c r="AH1" s="2"/>
      <c r="AI1" s="2"/>
      <c r="AJ1" s="2"/>
      <c r="AK1" s="2"/>
      <c r="AL1" s="2"/>
      <c r="AM1" s="2"/>
      <c r="AN1" s="2"/>
      <c r="AO1" s="2"/>
      <c r="AP1" s="73" t="s">
        <v>262</v>
      </c>
    </row>
    <row r="2" spans="1:42" ht="19.5" customHeight="1">
      <c r="A2" s="286" t="s">
        <v>142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</row>
    <row r="3" spans="1:42" ht="19.5" customHeight="1">
      <c r="A3" s="287" t="s">
        <v>16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ht="18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34"/>
      <c r="AP4" s="135" t="s">
        <v>248</v>
      </c>
    </row>
    <row r="5" spans="1:42" ht="16.5" customHeight="1">
      <c r="A5" s="312" t="s">
        <v>178</v>
      </c>
      <c r="B5" s="313"/>
      <c r="C5" s="305" t="s">
        <v>17</v>
      </c>
      <c r="D5" s="302"/>
      <c r="E5" s="305" t="s">
        <v>18</v>
      </c>
      <c r="F5" s="302"/>
      <c r="G5" s="305" t="s">
        <v>19</v>
      </c>
      <c r="H5" s="302"/>
      <c r="I5" s="290" t="s">
        <v>225</v>
      </c>
      <c r="J5" s="291"/>
      <c r="K5" s="305" t="s">
        <v>20</v>
      </c>
      <c r="L5" s="302"/>
      <c r="M5" s="305" t="s">
        <v>21</v>
      </c>
      <c r="N5" s="302"/>
      <c r="O5" s="306" t="s">
        <v>22</v>
      </c>
      <c r="P5" s="291"/>
      <c r="Q5" s="305" t="s">
        <v>179</v>
      </c>
      <c r="R5" s="302"/>
      <c r="S5" s="301" t="s">
        <v>211</v>
      </c>
      <c r="T5" s="302"/>
      <c r="U5" s="305" t="s">
        <v>212</v>
      </c>
      <c r="V5" s="302"/>
      <c r="W5" s="305" t="s">
        <v>213</v>
      </c>
      <c r="X5" s="302"/>
      <c r="Y5" s="290" t="s">
        <v>29</v>
      </c>
      <c r="Z5" s="291"/>
      <c r="AA5" s="290" t="s">
        <v>226</v>
      </c>
      <c r="AB5" s="291"/>
      <c r="AC5" s="290" t="s">
        <v>143</v>
      </c>
      <c r="AD5" s="297"/>
      <c r="AE5" s="294" t="s">
        <v>144</v>
      </c>
      <c r="AF5" s="291"/>
      <c r="AG5" s="306" t="s">
        <v>214</v>
      </c>
      <c r="AH5" s="320"/>
      <c r="AI5" s="290" t="s">
        <v>90</v>
      </c>
      <c r="AJ5" s="320"/>
      <c r="AK5" s="306" t="s">
        <v>180</v>
      </c>
      <c r="AL5" s="319"/>
      <c r="AM5" s="306" t="s">
        <v>259</v>
      </c>
      <c r="AN5" s="319"/>
      <c r="AO5" s="306" t="s">
        <v>215</v>
      </c>
      <c r="AP5" s="319"/>
    </row>
    <row r="6" spans="1:42" ht="16.5" customHeight="1">
      <c r="A6" s="314"/>
      <c r="B6" s="315"/>
      <c r="C6" s="303"/>
      <c r="D6" s="304"/>
      <c r="E6" s="303"/>
      <c r="F6" s="304"/>
      <c r="G6" s="303"/>
      <c r="H6" s="304"/>
      <c r="I6" s="292"/>
      <c r="J6" s="293"/>
      <c r="K6" s="303"/>
      <c r="L6" s="304"/>
      <c r="M6" s="303"/>
      <c r="N6" s="304"/>
      <c r="O6" s="292"/>
      <c r="P6" s="293"/>
      <c r="Q6" s="303"/>
      <c r="R6" s="304"/>
      <c r="S6" s="303"/>
      <c r="T6" s="304"/>
      <c r="U6" s="303"/>
      <c r="V6" s="304"/>
      <c r="W6" s="303"/>
      <c r="X6" s="304"/>
      <c r="Y6" s="292"/>
      <c r="Z6" s="293"/>
      <c r="AA6" s="299"/>
      <c r="AB6" s="296"/>
      <c r="AC6" s="292"/>
      <c r="AD6" s="298"/>
      <c r="AE6" s="295"/>
      <c r="AF6" s="296"/>
      <c r="AG6" s="292"/>
      <c r="AH6" s="293"/>
      <c r="AI6" s="292"/>
      <c r="AJ6" s="293"/>
      <c r="AK6" s="292"/>
      <c r="AL6" s="298"/>
      <c r="AM6" s="292"/>
      <c r="AN6" s="298"/>
      <c r="AO6" s="292"/>
      <c r="AP6" s="298"/>
    </row>
    <row r="7" spans="1:42" ht="16.5" customHeight="1">
      <c r="A7" s="316"/>
      <c r="B7" s="315"/>
      <c r="C7" s="288" t="s">
        <v>8</v>
      </c>
      <c r="D7" s="288" t="s">
        <v>53</v>
      </c>
      <c r="E7" s="288" t="s">
        <v>8</v>
      </c>
      <c r="F7" s="288" t="s">
        <v>53</v>
      </c>
      <c r="G7" s="288" t="s">
        <v>8</v>
      </c>
      <c r="H7" s="288" t="s">
        <v>53</v>
      </c>
      <c r="I7" s="288" t="s">
        <v>8</v>
      </c>
      <c r="J7" s="288" t="s">
        <v>53</v>
      </c>
      <c r="K7" s="288" t="s">
        <v>8</v>
      </c>
      <c r="L7" s="288" t="s">
        <v>53</v>
      </c>
      <c r="M7" s="288" t="s">
        <v>8</v>
      </c>
      <c r="N7" s="288" t="s">
        <v>53</v>
      </c>
      <c r="O7" s="288" t="s">
        <v>8</v>
      </c>
      <c r="P7" s="288" t="s">
        <v>53</v>
      </c>
      <c r="Q7" s="288" t="s">
        <v>8</v>
      </c>
      <c r="R7" s="288" t="s">
        <v>53</v>
      </c>
      <c r="S7" s="288" t="s">
        <v>8</v>
      </c>
      <c r="T7" s="288" t="s">
        <v>53</v>
      </c>
      <c r="U7" s="288" t="s">
        <v>8</v>
      </c>
      <c r="V7" s="288" t="s">
        <v>53</v>
      </c>
      <c r="W7" s="288" t="s">
        <v>8</v>
      </c>
      <c r="X7" s="288" t="s">
        <v>53</v>
      </c>
      <c r="Y7" s="288" t="s">
        <v>8</v>
      </c>
      <c r="Z7" s="288" t="s">
        <v>53</v>
      </c>
      <c r="AA7" s="288" t="s">
        <v>8</v>
      </c>
      <c r="AB7" s="288" t="s">
        <v>53</v>
      </c>
      <c r="AC7" s="288" t="s">
        <v>8</v>
      </c>
      <c r="AD7" s="300" t="s">
        <v>53</v>
      </c>
      <c r="AE7" s="288" t="s">
        <v>8</v>
      </c>
      <c r="AF7" s="288" t="s">
        <v>53</v>
      </c>
      <c r="AG7" s="288" t="s">
        <v>8</v>
      </c>
      <c r="AH7" s="288" t="s">
        <v>53</v>
      </c>
      <c r="AI7" s="288" t="s">
        <v>8</v>
      </c>
      <c r="AJ7" s="288" t="s">
        <v>53</v>
      </c>
      <c r="AK7" s="288" t="s">
        <v>8</v>
      </c>
      <c r="AL7" s="288" t="s">
        <v>53</v>
      </c>
      <c r="AM7" s="288" t="s">
        <v>8</v>
      </c>
      <c r="AN7" s="300" t="s">
        <v>53</v>
      </c>
      <c r="AO7" s="288" t="s">
        <v>8</v>
      </c>
      <c r="AP7" s="300" t="s">
        <v>53</v>
      </c>
    </row>
    <row r="8" spans="1:42" ht="16.5" customHeight="1">
      <c r="A8" s="317"/>
      <c r="B8" s="31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2"/>
      <c r="AE8" s="289"/>
      <c r="AF8" s="289"/>
      <c r="AG8" s="289"/>
      <c r="AH8" s="289"/>
      <c r="AI8" s="289"/>
      <c r="AJ8" s="289"/>
      <c r="AK8" s="289"/>
      <c r="AL8" s="289"/>
      <c r="AM8" s="289"/>
      <c r="AN8" s="292"/>
      <c r="AO8" s="289"/>
      <c r="AP8" s="292"/>
    </row>
    <row r="9" spans="1:42" ht="30" customHeight="1">
      <c r="A9" s="121"/>
      <c r="B9" s="142"/>
      <c r="C9" s="121"/>
      <c r="D9" s="122"/>
      <c r="E9" s="121"/>
      <c r="F9" s="122"/>
      <c r="G9" s="121"/>
      <c r="H9" s="122"/>
      <c r="I9" s="121"/>
      <c r="J9" s="122"/>
      <c r="K9" s="121"/>
      <c r="L9" s="122"/>
      <c r="M9" s="121"/>
      <c r="N9" s="122"/>
      <c r="O9" s="121"/>
      <c r="P9" s="122"/>
      <c r="Q9" s="121"/>
      <c r="R9" s="122"/>
      <c r="S9" s="121"/>
      <c r="T9" s="122"/>
      <c r="U9" s="121"/>
      <c r="V9" s="122"/>
      <c r="W9" s="121"/>
      <c r="X9" s="122"/>
      <c r="Y9" s="121"/>
      <c r="Z9" s="122"/>
      <c r="AA9" s="122"/>
      <c r="AB9" s="122"/>
      <c r="AC9" s="121"/>
      <c r="AD9" s="122"/>
      <c r="AE9" s="122"/>
      <c r="AF9" s="122"/>
      <c r="AG9" s="137"/>
      <c r="AH9" s="122"/>
      <c r="AI9" s="137"/>
      <c r="AJ9" s="122"/>
      <c r="AK9" s="137"/>
      <c r="AL9" s="122"/>
      <c r="AM9" s="137"/>
      <c r="AN9" s="122"/>
      <c r="AO9" s="137"/>
      <c r="AP9" s="122"/>
    </row>
    <row r="10" spans="1:42" ht="30" customHeight="1">
      <c r="A10" s="308" t="s">
        <v>145</v>
      </c>
      <c r="B10" s="234"/>
      <c r="C10" s="88">
        <f>'028'!C10+'030'!C10</f>
        <v>66948</v>
      </c>
      <c r="D10" s="88">
        <f>'028'!D10+'030'!D10</f>
        <v>577944</v>
      </c>
      <c r="E10" s="88">
        <f>'028'!E10+'030'!E10</f>
        <v>252</v>
      </c>
      <c r="F10" s="88">
        <f>'028'!F10+'030'!F10</f>
        <v>2650</v>
      </c>
      <c r="G10" s="88">
        <f>'028'!G10+'030'!G10</f>
        <v>66696</v>
      </c>
      <c r="H10" s="88">
        <f>'028'!H10+'030'!H10</f>
        <v>575294</v>
      </c>
      <c r="I10" s="88">
        <f>'028'!I10</f>
        <v>43</v>
      </c>
      <c r="J10" s="88">
        <f>'028'!J10</f>
        <v>355</v>
      </c>
      <c r="K10" s="88">
        <f>'028'!K10</f>
        <v>7357</v>
      </c>
      <c r="L10" s="88">
        <f>'028'!L10</f>
        <v>48955</v>
      </c>
      <c r="M10" s="88">
        <f>'028'!M10+'030'!M10</f>
        <v>8573</v>
      </c>
      <c r="N10" s="88">
        <f>'028'!N10</f>
        <v>109732</v>
      </c>
      <c r="O10" s="88">
        <f>'028'!O10+'030'!O10</f>
        <v>82</v>
      </c>
      <c r="P10" s="88">
        <f>'028'!P10+'030'!P10</f>
        <v>2405</v>
      </c>
      <c r="Q10" s="88">
        <f>'028'!Q10+'030'!Q10</f>
        <v>587</v>
      </c>
      <c r="R10" s="88">
        <f>'028'!R10+'030'!R10</f>
        <v>11402</v>
      </c>
      <c r="S10" s="88">
        <f>'028'!S10+'030'!S10</f>
        <v>1342</v>
      </c>
      <c r="T10" s="88">
        <f>'028'!T10+'030'!T10</f>
        <v>25491</v>
      </c>
      <c r="U10" s="88">
        <f>'028'!U10+'030'!U10</f>
        <v>17559</v>
      </c>
      <c r="V10" s="88">
        <f>'028'!V10+'030'!V10</f>
        <v>119027</v>
      </c>
      <c r="W10" s="88">
        <f>'028'!W10</f>
        <v>1028</v>
      </c>
      <c r="X10" s="88">
        <f>'028'!X10</f>
        <v>13084</v>
      </c>
      <c r="Y10" s="88">
        <f>'028'!Y10+'030'!Y10</f>
        <v>2832</v>
      </c>
      <c r="Z10" s="88">
        <f>'028'!Z10+'030'!Z10</f>
        <v>9651</v>
      </c>
      <c r="AA10" s="88">
        <f>'028'!AA10</f>
        <v>2087</v>
      </c>
      <c r="AB10" s="88">
        <f>'028'!AB10</f>
        <v>11467</v>
      </c>
      <c r="AC10" s="88">
        <f>'028'!AC10+'030'!AC10</f>
        <v>7911</v>
      </c>
      <c r="AD10" s="88">
        <f>'028'!AD10+'030'!AD10</f>
        <v>50465</v>
      </c>
      <c r="AE10" s="88">
        <f>'028'!AE10</f>
        <v>5403</v>
      </c>
      <c r="AF10" s="88">
        <f>'028'!AF10</f>
        <v>23120</v>
      </c>
      <c r="AG10" s="88">
        <f>'028'!AG10+'030'!AG10</f>
        <v>2662</v>
      </c>
      <c r="AH10" s="88">
        <f>'028'!AH10+'030'!AH10</f>
        <v>27686</v>
      </c>
      <c r="AI10" s="88">
        <f>'028'!AI10+'030'!AI10</f>
        <v>3328</v>
      </c>
      <c r="AJ10" s="88">
        <f>'028'!AJ10+'030'!AJ10</f>
        <v>55597</v>
      </c>
      <c r="AK10" s="88">
        <f>'028'!AK10</f>
        <v>737</v>
      </c>
      <c r="AL10" s="88">
        <f>'028'!AL10</f>
        <v>8382</v>
      </c>
      <c r="AM10" s="88">
        <f>'028'!AM10+'030'!AM10</f>
        <v>4581</v>
      </c>
      <c r="AN10" s="88">
        <f>'028'!AN10+'030'!AN10</f>
        <v>40164</v>
      </c>
      <c r="AO10" s="88">
        <f>'028'!AO10+'030'!AO10</f>
        <v>584</v>
      </c>
      <c r="AP10" s="88">
        <f>'028'!AP10+'030'!AP10</f>
        <v>18311</v>
      </c>
    </row>
    <row r="11" spans="1:42" s="66" customFormat="1" ht="30" customHeight="1">
      <c r="A11" s="309" t="s">
        <v>146</v>
      </c>
      <c r="B11" s="310"/>
      <c r="C11" s="82">
        <f>C14</f>
        <v>68035</v>
      </c>
      <c r="D11" s="82">
        <f aca="true" t="shared" si="0" ref="D11:AP11">D14</f>
        <v>609917</v>
      </c>
      <c r="E11" s="82">
        <f t="shared" si="0"/>
        <v>408</v>
      </c>
      <c r="F11" s="82">
        <f t="shared" si="0"/>
        <v>4602</v>
      </c>
      <c r="G11" s="82">
        <f t="shared" si="0"/>
        <v>67627</v>
      </c>
      <c r="H11" s="82">
        <f t="shared" si="0"/>
        <v>605315</v>
      </c>
      <c r="I11" s="82">
        <f t="shared" si="0"/>
        <v>40</v>
      </c>
      <c r="J11" s="82">
        <f t="shared" si="0"/>
        <v>295</v>
      </c>
      <c r="K11" s="82">
        <f t="shared" si="0"/>
        <v>7500</v>
      </c>
      <c r="L11" s="82">
        <f t="shared" si="0"/>
        <v>47965</v>
      </c>
      <c r="M11" s="82">
        <f t="shared" si="0"/>
        <v>8048</v>
      </c>
      <c r="N11" s="82">
        <f t="shared" si="0"/>
        <v>109007</v>
      </c>
      <c r="O11" s="82">
        <f t="shared" si="0"/>
        <v>79</v>
      </c>
      <c r="P11" s="82">
        <f t="shared" si="0"/>
        <v>2560</v>
      </c>
      <c r="Q11" s="82">
        <f t="shared" si="0"/>
        <v>701</v>
      </c>
      <c r="R11" s="82">
        <f t="shared" si="0"/>
        <v>11742</v>
      </c>
      <c r="S11" s="82">
        <f t="shared" si="0"/>
        <v>1529</v>
      </c>
      <c r="T11" s="82">
        <f t="shared" si="0"/>
        <v>29636</v>
      </c>
      <c r="U11" s="82">
        <f t="shared" si="0"/>
        <v>17371</v>
      </c>
      <c r="V11" s="82">
        <f t="shared" si="0"/>
        <v>124291</v>
      </c>
      <c r="W11" s="82">
        <f t="shared" si="0"/>
        <v>1102</v>
      </c>
      <c r="X11" s="82">
        <f t="shared" si="0"/>
        <v>14750</v>
      </c>
      <c r="Y11" s="82">
        <f t="shared" si="0"/>
        <v>3359</v>
      </c>
      <c r="Z11" s="82">
        <f t="shared" si="0"/>
        <v>10823</v>
      </c>
      <c r="AA11" s="82">
        <f t="shared" si="0"/>
        <v>2424</v>
      </c>
      <c r="AB11" s="82">
        <f t="shared" si="0"/>
        <v>14113</v>
      </c>
      <c r="AC11" s="82">
        <f t="shared" si="0"/>
        <v>7795</v>
      </c>
      <c r="AD11" s="82">
        <f t="shared" si="0"/>
        <v>56509</v>
      </c>
      <c r="AE11" s="82">
        <f t="shared" si="0"/>
        <v>5435</v>
      </c>
      <c r="AF11" s="82">
        <f t="shared" si="0"/>
        <v>24659</v>
      </c>
      <c r="AG11" s="82">
        <f t="shared" si="0"/>
        <v>2681</v>
      </c>
      <c r="AH11" s="82">
        <f t="shared" si="0"/>
        <v>29643</v>
      </c>
      <c r="AI11" s="82">
        <f t="shared" si="0"/>
        <v>3598</v>
      </c>
      <c r="AJ11" s="82">
        <f t="shared" si="0"/>
        <v>63654</v>
      </c>
      <c r="AK11" s="82">
        <f t="shared" si="0"/>
        <v>510</v>
      </c>
      <c r="AL11" s="82">
        <f t="shared" si="0"/>
        <v>5465</v>
      </c>
      <c r="AM11" s="82">
        <f t="shared" si="0"/>
        <v>4892</v>
      </c>
      <c r="AN11" s="82">
        <f t="shared" si="0"/>
        <v>41962</v>
      </c>
      <c r="AO11" s="82">
        <f t="shared" si="0"/>
        <v>563</v>
      </c>
      <c r="AP11" s="82">
        <f t="shared" si="0"/>
        <v>18241</v>
      </c>
    </row>
    <row r="12" spans="1:42" ht="30" customHeight="1">
      <c r="A12" s="311" t="s">
        <v>200</v>
      </c>
      <c r="B12" s="234"/>
      <c r="C12" s="143">
        <f>(C11-C10)/C10*100</f>
        <v>1.6236482045766862</v>
      </c>
      <c r="D12" s="143">
        <f aca="true" t="shared" si="1" ref="D12:AP12">(D11-D10)/D10*100</f>
        <v>5.532196891048267</v>
      </c>
      <c r="E12" s="143">
        <f t="shared" si="1"/>
        <v>61.904761904761905</v>
      </c>
      <c r="F12" s="143">
        <f t="shared" si="1"/>
        <v>73.66037735849056</v>
      </c>
      <c r="G12" s="143">
        <f t="shared" si="1"/>
        <v>1.3958858102434928</v>
      </c>
      <c r="H12" s="143">
        <f t="shared" si="1"/>
        <v>5.218375300281247</v>
      </c>
      <c r="I12" s="143">
        <f t="shared" si="1"/>
        <v>-6.976744186046512</v>
      </c>
      <c r="J12" s="143">
        <f t="shared" si="1"/>
        <v>-16.901408450704224</v>
      </c>
      <c r="K12" s="143">
        <f t="shared" si="1"/>
        <v>1.9437270626614107</v>
      </c>
      <c r="L12" s="143">
        <f t="shared" si="1"/>
        <v>-2.0222653457256663</v>
      </c>
      <c r="M12" s="143">
        <f t="shared" si="1"/>
        <v>-6.123877289163653</v>
      </c>
      <c r="N12" s="143">
        <f t="shared" si="1"/>
        <v>-0.6607006160463674</v>
      </c>
      <c r="O12" s="143">
        <f t="shared" si="1"/>
        <v>-3.6585365853658534</v>
      </c>
      <c r="P12" s="143">
        <f t="shared" si="1"/>
        <v>6.4449064449064455</v>
      </c>
      <c r="Q12" s="143">
        <f t="shared" si="1"/>
        <v>19.420783645655877</v>
      </c>
      <c r="R12" s="143">
        <f t="shared" si="1"/>
        <v>2.981932994211542</v>
      </c>
      <c r="S12" s="143">
        <f t="shared" si="1"/>
        <v>13.934426229508196</v>
      </c>
      <c r="T12" s="143">
        <f t="shared" si="1"/>
        <v>16.260641010552746</v>
      </c>
      <c r="U12" s="143">
        <f t="shared" si="1"/>
        <v>-1.0706760066062988</v>
      </c>
      <c r="V12" s="143">
        <f t="shared" si="1"/>
        <v>4.422525981499996</v>
      </c>
      <c r="W12" s="143">
        <f t="shared" si="1"/>
        <v>7.198443579766536</v>
      </c>
      <c r="X12" s="143">
        <f t="shared" si="1"/>
        <v>12.733109140935495</v>
      </c>
      <c r="Y12" s="143">
        <f t="shared" si="1"/>
        <v>18.608757062146893</v>
      </c>
      <c r="Z12" s="143">
        <f t="shared" si="1"/>
        <v>12.143819293337478</v>
      </c>
      <c r="AA12" s="143">
        <f t="shared" si="1"/>
        <v>16.14758025874461</v>
      </c>
      <c r="AB12" s="143">
        <f t="shared" si="1"/>
        <v>23.074910613063572</v>
      </c>
      <c r="AC12" s="143">
        <f t="shared" si="1"/>
        <v>-1.466312729111364</v>
      </c>
      <c r="AD12" s="143">
        <f t="shared" si="1"/>
        <v>11.976617457643911</v>
      </c>
      <c r="AE12" s="143">
        <f t="shared" si="1"/>
        <v>0.592263557282991</v>
      </c>
      <c r="AF12" s="143">
        <f t="shared" si="1"/>
        <v>6.656574394463669</v>
      </c>
      <c r="AG12" s="143">
        <f t="shared" si="1"/>
        <v>0.7137490608564989</v>
      </c>
      <c r="AH12" s="143">
        <f t="shared" si="1"/>
        <v>7.068554504081486</v>
      </c>
      <c r="AI12" s="143">
        <f t="shared" si="1"/>
        <v>8.11298076923077</v>
      </c>
      <c r="AJ12" s="143">
        <f t="shared" si="1"/>
        <v>14.491789125312518</v>
      </c>
      <c r="AK12" s="143">
        <f t="shared" si="1"/>
        <v>-30.800542740841248</v>
      </c>
      <c r="AL12" s="143">
        <f t="shared" si="1"/>
        <v>-34.80076354092102</v>
      </c>
      <c r="AM12" s="143">
        <f t="shared" si="1"/>
        <v>6.788910718183802</v>
      </c>
      <c r="AN12" s="143">
        <f t="shared" si="1"/>
        <v>4.476645752415099</v>
      </c>
      <c r="AO12" s="143">
        <f t="shared" si="1"/>
        <v>-3.595890410958904</v>
      </c>
      <c r="AP12" s="143">
        <f t="shared" si="1"/>
        <v>-0.38228387308175416</v>
      </c>
    </row>
    <row r="13" spans="1:42" ht="30" customHeight="1">
      <c r="A13" s="127"/>
      <c r="B13" s="136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</row>
    <row r="14" spans="1:232" s="15" customFormat="1" ht="30" customHeight="1">
      <c r="A14" s="307" t="s">
        <v>37</v>
      </c>
      <c r="B14" s="277"/>
      <c r="C14" s="82">
        <f>E14+G14</f>
        <v>68035</v>
      </c>
      <c r="D14" s="82">
        <f>F14+H14</f>
        <v>609917</v>
      </c>
      <c r="E14" s="82">
        <f>E15+E16+E17+E18+E19+E20+E21+E22+E23+E24+E26+E29+E32+E36+E40+E43</f>
        <v>408</v>
      </c>
      <c r="F14" s="82">
        <f aca="true" t="shared" si="2" ref="F14:AP14">F15+F16+F17+F18+F19+F20+F21+F22+F23+F24+F26+F29+F32+F36+F40+F43</f>
        <v>4602</v>
      </c>
      <c r="G14" s="82">
        <f t="shared" si="2"/>
        <v>67627</v>
      </c>
      <c r="H14" s="82">
        <f t="shared" si="2"/>
        <v>605315</v>
      </c>
      <c r="I14" s="82">
        <f>I15+I16+I17+I18+I19+I20+I22+I23+I24+I26+I36+I40+I43</f>
        <v>40</v>
      </c>
      <c r="J14" s="82">
        <f>J15+J16+J17+J18+J19+J20+J22+J23+J24+J26+J36+J40+J43</f>
        <v>295</v>
      </c>
      <c r="K14" s="82">
        <f t="shared" si="2"/>
        <v>7500</v>
      </c>
      <c r="L14" s="82">
        <f t="shared" si="2"/>
        <v>47965</v>
      </c>
      <c r="M14" s="82">
        <f t="shared" si="2"/>
        <v>8048</v>
      </c>
      <c r="N14" s="82">
        <f t="shared" si="2"/>
        <v>109007</v>
      </c>
      <c r="O14" s="82">
        <f t="shared" si="2"/>
        <v>79</v>
      </c>
      <c r="P14" s="82">
        <f t="shared" si="2"/>
        <v>2560</v>
      </c>
      <c r="Q14" s="82">
        <f t="shared" si="2"/>
        <v>701</v>
      </c>
      <c r="R14" s="82">
        <f t="shared" si="2"/>
        <v>11742</v>
      </c>
      <c r="S14" s="82">
        <f t="shared" si="2"/>
        <v>1529</v>
      </c>
      <c r="T14" s="82">
        <f t="shared" si="2"/>
        <v>29636</v>
      </c>
      <c r="U14" s="82">
        <f t="shared" si="2"/>
        <v>17371</v>
      </c>
      <c r="V14" s="82">
        <f t="shared" si="2"/>
        <v>124291</v>
      </c>
      <c r="W14" s="82">
        <f t="shared" si="2"/>
        <v>1102</v>
      </c>
      <c r="X14" s="82">
        <f t="shared" si="2"/>
        <v>14750</v>
      </c>
      <c r="Y14" s="82">
        <f t="shared" si="2"/>
        <v>3359</v>
      </c>
      <c r="Z14" s="82">
        <f t="shared" si="2"/>
        <v>10823</v>
      </c>
      <c r="AA14" s="82">
        <f t="shared" si="2"/>
        <v>2424</v>
      </c>
      <c r="AB14" s="82">
        <f t="shared" si="2"/>
        <v>14113</v>
      </c>
      <c r="AC14" s="82">
        <f t="shared" si="2"/>
        <v>7795</v>
      </c>
      <c r="AD14" s="82">
        <f t="shared" si="2"/>
        <v>56509</v>
      </c>
      <c r="AE14" s="82">
        <f t="shared" si="2"/>
        <v>5435</v>
      </c>
      <c r="AF14" s="82">
        <f t="shared" si="2"/>
        <v>24659</v>
      </c>
      <c r="AG14" s="82">
        <f t="shared" si="2"/>
        <v>2681</v>
      </c>
      <c r="AH14" s="82">
        <f t="shared" si="2"/>
        <v>29643</v>
      </c>
      <c r="AI14" s="82">
        <f t="shared" si="2"/>
        <v>3598</v>
      </c>
      <c r="AJ14" s="82">
        <f t="shared" si="2"/>
        <v>63654</v>
      </c>
      <c r="AK14" s="82">
        <f t="shared" si="2"/>
        <v>510</v>
      </c>
      <c r="AL14" s="82">
        <f t="shared" si="2"/>
        <v>5465</v>
      </c>
      <c r="AM14" s="82">
        <f t="shared" si="2"/>
        <v>4892</v>
      </c>
      <c r="AN14" s="82">
        <f t="shared" si="2"/>
        <v>41962</v>
      </c>
      <c r="AO14" s="82">
        <f t="shared" si="2"/>
        <v>563</v>
      </c>
      <c r="AP14" s="82">
        <f t="shared" si="2"/>
        <v>18241</v>
      </c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</row>
    <row r="15" spans="1:232" s="15" customFormat="1" ht="30" customHeight="1">
      <c r="A15" s="307" t="s">
        <v>38</v>
      </c>
      <c r="B15" s="277"/>
      <c r="C15" s="82">
        <f aca="true" t="shared" si="3" ref="C15:C24">E15+G15</f>
        <v>28574</v>
      </c>
      <c r="D15" s="82">
        <f aca="true" t="shared" si="4" ref="D15:D24">F15+H15</f>
        <v>277977</v>
      </c>
      <c r="E15" s="82">
        <v>63</v>
      </c>
      <c r="F15" s="82">
        <v>551</v>
      </c>
      <c r="G15" s="82">
        <f>I15+K15+M15+O15+Q15+S15+U15+W15+Y15+AA15+AC15+AE15+AG15+AI15+AK15+AM15+AO15</f>
        <v>28511</v>
      </c>
      <c r="H15" s="82">
        <f>J15+L15+N15+P15+R15+T15+V15+X15+Z15+AB15+AD15+AF15+AH15+AJ15+AL15+AN15+AP15</f>
        <v>277426</v>
      </c>
      <c r="I15" s="82">
        <v>10</v>
      </c>
      <c r="J15" s="82">
        <v>61</v>
      </c>
      <c r="K15" s="82">
        <v>2686</v>
      </c>
      <c r="L15" s="82">
        <v>21786</v>
      </c>
      <c r="M15" s="82">
        <v>2133</v>
      </c>
      <c r="N15" s="82">
        <v>24212</v>
      </c>
      <c r="O15" s="82">
        <v>21</v>
      </c>
      <c r="P15" s="82">
        <v>1009</v>
      </c>
      <c r="Q15" s="82">
        <v>455</v>
      </c>
      <c r="R15" s="82">
        <v>8630</v>
      </c>
      <c r="S15" s="82">
        <v>671</v>
      </c>
      <c r="T15" s="82">
        <v>14707</v>
      </c>
      <c r="U15" s="82">
        <v>7613</v>
      </c>
      <c r="V15" s="82">
        <v>62189</v>
      </c>
      <c r="W15" s="82">
        <v>595</v>
      </c>
      <c r="X15" s="82">
        <v>9539</v>
      </c>
      <c r="Y15" s="82">
        <v>2027</v>
      </c>
      <c r="Z15" s="82">
        <v>6732</v>
      </c>
      <c r="AA15" s="82">
        <v>1377</v>
      </c>
      <c r="AB15" s="82">
        <v>8629</v>
      </c>
      <c r="AC15" s="82">
        <v>3539</v>
      </c>
      <c r="AD15" s="82">
        <v>28328</v>
      </c>
      <c r="AE15" s="82">
        <v>2211</v>
      </c>
      <c r="AF15" s="82">
        <v>11188</v>
      </c>
      <c r="AG15" s="123">
        <v>1146</v>
      </c>
      <c r="AH15" s="123">
        <v>15194</v>
      </c>
      <c r="AI15" s="123">
        <v>1431</v>
      </c>
      <c r="AJ15" s="123">
        <v>27518</v>
      </c>
      <c r="AK15" s="123">
        <v>150</v>
      </c>
      <c r="AL15" s="123">
        <v>1401</v>
      </c>
      <c r="AM15" s="123">
        <v>2303</v>
      </c>
      <c r="AN15" s="123">
        <v>27482</v>
      </c>
      <c r="AO15" s="123">
        <v>143</v>
      </c>
      <c r="AP15" s="123">
        <v>8821</v>
      </c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</row>
    <row r="16" spans="1:232" ht="30" customHeight="1">
      <c r="A16" s="307" t="s">
        <v>39</v>
      </c>
      <c r="B16" s="277"/>
      <c r="C16" s="82">
        <f t="shared" si="3"/>
        <v>4086</v>
      </c>
      <c r="D16" s="82">
        <f t="shared" si="4"/>
        <v>31277</v>
      </c>
      <c r="E16" s="82">
        <v>23</v>
      </c>
      <c r="F16" s="82">
        <v>382</v>
      </c>
      <c r="G16" s="82">
        <f aca="true" t="shared" si="5" ref="G16:G24">I16+K16+M16+O16+Q16+S16+U16+W16+Y16+AA16+AC16+AE16+AG16+AI16+AK16+AM16+AO16</f>
        <v>4063</v>
      </c>
      <c r="H16" s="82">
        <f aca="true" t="shared" si="6" ref="H16:H24">J16+L16+N16+P16+R16+T16+V16+X16+Z16+AB16+AD16+AF16+AH16+AJ16+AL16+AN16+AP16</f>
        <v>30895</v>
      </c>
      <c r="I16" s="82">
        <v>4</v>
      </c>
      <c r="J16" s="82">
        <v>28</v>
      </c>
      <c r="K16" s="82">
        <v>415</v>
      </c>
      <c r="L16" s="82">
        <v>2397</v>
      </c>
      <c r="M16" s="82">
        <v>366</v>
      </c>
      <c r="N16" s="82">
        <v>4512</v>
      </c>
      <c r="O16" s="82">
        <v>6</v>
      </c>
      <c r="P16" s="82">
        <v>346</v>
      </c>
      <c r="Q16" s="82">
        <v>22</v>
      </c>
      <c r="R16" s="82">
        <v>87</v>
      </c>
      <c r="S16" s="82">
        <v>91</v>
      </c>
      <c r="T16" s="82">
        <v>1417</v>
      </c>
      <c r="U16" s="82">
        <v>1124</v>
      </c>
      <c r="V16" s="82">
        <v>6149</v>
      </c>
      <c r="W16" s="82">
        <v>75</v>
      </c>
      <c r="X16" s="82">
        <v>774</v>
      </c>
      <c r="Y16" s="82">
        <v>130</v>
      </c>
      <c r="Z16" s="82">
        <v>315</v>
      </c>
      <c r="AA16" s="82">
        <v>109</v>
      </c>
      <c r="AB16" s="82">
        <v>546</v>
      </c>
      <c r="AC16" s="82">
        <v>544</v>
      </c>
      <c r="AD16" s="82">
        <v>3646</v>
      </c>
      <c r="AE16" s="82">
        <v>365</v>
      </c>
      <c r="AF16" s="82">
        <v>1317</v>
      </c>
      <c r="AG16" s="123">
        <v>172</v>
      </c>
      <c r="AH16" s="123">
        <v>1283</v>
      </c>
      <c r="AI16" s="123">
        <v>215</v>
      </c>
      <c r="AJ16" s="123">
        <v>4351</v>
      </c>
      <c r="AK16" s="123">
        <v>44</v>
      </c>
      <c r="AL16" s="123">
        <v>351</v>
      </c>
      <c r="AM16" s="123">
        <v>323</v>
      </c>
      <c r="AN16" s="123">
        <v>2384</v>
      </c>
      <c r="AO16" s="123">
        <v>58</v>
      </c>
      <c r="AP16" s="123">
        <v>992</v>
      </c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</row>
    <row r="17" spans="1:232" ht="30" customHeight="1">
      <c r="A17" s="307" t="s">
        <v>40</v>
      </c>
      <c r="B17" s="277"/>
      <c r="C17" s="82">
        <f t="shared" si="3"/>
        <v>6527</v>
      </c>
      <c r="D17" s="82">
        <f t="shared" si="4"/>
        <v>58530</v>
      </c>
      <c r="E17" s="82">
        <v>19</v>
      </c>
      <c r="F17" s="82">
        <v>151</v>
      </c>
      <c r="G17" s="82">
        <f t="shared" si="5"/>
        <v>6508</v>
      </c>
      <c r="H17" s="82">
        <f t="shared" si="6"/>
        <v>58379</v>
      </c>
      <c r="I17" s="82">
        <v>1</v>
      </c>
      <c r="J17" s="82">
        <v>4</v>
      </c>
      <c r="K17" s="82">
        <v>725</v>
      </c>
      <c r="L17" s="82">
        <v>4052</v>
      </c>
      <c r="M17" s="82">
        <v>1143</v>
      </c>
      <c r="N17" s="82">
        <v>17150</v>
      </c>
      <c r="O17" s="82">
        <v>7</v>
      </c>
      <c r="P17" s="82">
        <v>282</v>
      </c>
      <c r="Q17" s="82">
        <v>46</v>
      </c>
      <c r="R17" s="82">
        <v>401</v>
      </c>
      <c r="S17" s="82">
        <v>122</v>
      </c>
      <c r="T17" s="82">
        <v>2299</v>
      </c>
      <c r="U17" s="82">
        <v>1568</v>
      </c>
      <c r="V17" s="82">
        <v>10247</v>
      </c>
      <c r="W17" s="82">
        <v>102</v>
      </c>
      <c r="X17" s="82">
        <v>1136</v>
      </c>
      <c r="Y17" s="82">
        <v>264</v>
      </c>
      <c r="Z17" s="82">
        <v>853</v>
      </c>
      <c r="AA17" s="82">
        <v>255</v>
      </c>
      <c r="AB17" s="82">
        <v>1168</v>
      </c>
      <c r="AC17" s="82">
        <v>723</v>
      </c>
      <c r="AD17" s="82">
        <v>4797</v>
      </c>
      <c r="AE17" s="82">
        <v>548</v>
      </c>
      <c r="AF17" s="82">
        <v>2515</v>
      </c>
      <c r="AG17" s="123">
        <v>228</v>
      </c>
      <c r="AH17" s="123">
        <v>2436</v>
      </c>
      <c r="AI17" s="123">
        <v>308</v>
      </c>
      <c r="AJ17" s="123">
        <v>5608</v>
      </c>
      <c r="AK17" s="123">
        <v>67</v>
      </c>
      <c r="AL17" s="123">
        <v>650</v>
      </c>
      <c r="AM17" s="123">
        <v>352</v>
      </c>
      <c r="AN17" s="123">
        <v>2086</v>
      </c>
      <c r="AO17" s="123">
        <v>49</v>
      </c>
      <c r="AP17" s="123">
        <v>2695</v>
      </c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</row>
    <row r="18" spans="1:232" ht="30" customHeight="1">
      <c r="A18" s="307" t="s">
        <v>41</v>
      </c>
      <c r="B18" s="277"/>
      <c r="C18" s="82">
        <f t="shared" si="3"/>
        <v>2155</v>
      </c>
      <c r="D18" s="82">
        <f t="shared" si="4"/>
        <v>12758</v>
      </c>
      <c r="E18" s="82">
        <v>30</v>
      </c>
      <c r="F18" s="82">
        <v>557</v>
      </c>
      <c r="G18" s="82">
        <f t="shared" si="5"/>
        <v>2125</v>
      </c>
      <c r="H18" s="82">
        <f t="shared" si="6"/>
        <v>12201</v>
      </c>
      <c r="I18" s="82">
        <v>2</v>
      </c>
      <c r="J18" s="82">
        <v>27</v>
      </c>
      <c r="K18" s="82">
        <v>190</v>
      </c>
      <c r="L18" s="82">
        <v>1413</v>
      </c>
      <c r="M18" s="82">
        <v>369</v>
      </c>
      <c r="N18" s="82">
        <v>2127</v>
      </c>
      <c r="O18" s="82">
        <v>3</v>
      </c>
      <c r="P18" s="82">
        <v>54</v>
      </c>
      <c r="Q18" s="82">
        <v>8</v>
      </c>
      <c r="R18" s="82">
        <v>39</v>
      </c>
      <c r="S18" s="82">
        <v>33</v>
      </c>
      <c r="T18" s="82">
        <v>411</v>
      </c>
      <c r="U18" s="82">
        <v>612</v>
      </c>
      <c r="V18" s="82">
        <v>2477</v>
      </c>
      <c r="W18" s="82">
        <v>26</v>
      </c>
      <c r="X18" s="82">
        <v>213</v>
      </c>
      <c r="Y18" s="82">
        <v>25</v>
      </c>
      <c r="Z18" s="82">
        <v>81</v>
      </c>
      <c r="AA18" s="82">
        <v>37</v>
      </c>
      <c r="AB18" s="82">
        <v>198</v>
      </c>
      <c r="AC18" s="82">
        <v>260</v>
      </c>
      <c r="AD18" s="82">
        <v>1113</v>
      </c>
      <c r="AE18" s="82">
        <v>143</v>
      </c>
      <c r="AF18" s="82">
        <v>390</v>
      </c>
      <c r="AG18" s="123">
        <v>71</v>
      </c>
      <c r="AH18" s="123">
        <v>836</v>
      </c>
      <c r="AI18" s="123">
        <v>74</v>
      </c>
      <c r="AJ18" s="123">
        <v>1368</v>
      </c>
      <c r="AK18" s="123">
        <v>26</v>
      </c>
      <c r="AL18" s="123">
        <v>204</v>
      </c>
      <c r="AM18" s="123">
        <v>198</v>
      </c>
      <c r="AN18" s="123">
        <v>473</v>
      </c>
      <c r="AO18" s="123">
        <v>48</v>
      </c>
      <c r="AP18" s="123">
        <v>777</v>
      </c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</row>
    <row r="19" spans="1:232" ht="30" customHeight="1">
      <c r="A19" s="307" t="s">
        <v>42</v>
      </c>
      <c r="B19" s="277"/>
      <c r="C19" s="82">
        <f t="shared" si="3"/>
        <v>1244</v>
      </c>
      <c r="D19" s="82">
        <f t="shared" si="4"/>
        <v>7445</v>
      </c>
      <c r="E19" s="82">
        <v>20</v>
      </c>
      <c r="F19" s="82">
        <v>211</v>
      </c>
      <c r="G19" s="82">
        <f t="shared" si="5"/>
        <v>1224</v>
      </c>
      <c r="H19" s="82">
        <f t="shared" si="6"/>
        <v>7234</v>
      </c>
      <c r="I19" s="82">
        <v>2</v>
      </c>
      <c r="J19" s="82">
        <v>12</v>
      </c>
      <c r="K19" s="82">
        <v>161</v>
      </c>
      <c r="L19" s="82">
        <v>865</v>
      </c>
      <c r="M19" s="82">
        <v>86</v>
      </c>
      <c r="N19" s="82">
        <v>1101</v>
      </c>
      <c r="O19" s="82">
        <v>7</v>
      </c>
      <c r="P19" s="82">
        <v>72</v>
      </c>
      <c r="Q19" s="82">
        <v>5</v>
      </c>
      <c r="R19" s="82">
        <v>18</v>
      </c>
      <c r="S19" s="82">
        <v>30</v>
      </c>
      <c r="T19" s="82">
        <v>250</v>
      </c>
      <c r="U19" s="82">
        <v>382</v>
      </c>
      <c r="V19" s="82">
        <v>1625</v>
      </c>
      <c r="W19" s="82">
        <v>14</v>
      </c>
      <c r="X19" s="82">
        <v>142</v>
      </c>
      <c r="Y19" s="82">
        <v>13</v>
      </c>
      <c r="Z19" s="82">
        <v>31</v>
      </c>
      <c r="AA19" s="82">
        <v>25</v>
      </c>
      <c r="AB19" s="82">
        <v>89</v>
      </c>
      <c r="AC19" s="82">
        <v>123</v>
      </c>
      <c r="AD19" s="82">
        <v>513</v>
      </c>
      <c r="AE19" s="82">
        <v>117</v>
      </c>
      <c r="AF19" s="82">
        <v>401</v>
      </c>
      <c r="AG19" s="123">
        <v>41</v>
      </c>
      <c r="AH19" s="123">
        <v>338</v>
      </c>
      <c r="AI19" s="123">
        <v>50</v>
      </c>
      <c r="AJ19" s="123">
        <v>880</v>
      </c>
      <c r="AK19" s="123">
        <v>18</v>
      </c>
      <c r="AL19" s="123">
        <v>154</v>
      </c>
      <c r="AM19" s="123">
        <v>129</v>
      </c>
      <c r="AN19" s="123">
        <v>519</v>
      </c>
      <c r="AO19" s="123">
        <v>21</v>
      </c>
      <c r="AP19" s="123">
        <v>224</v>
      </c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</row>
    <row r="20" spans="1:232" ht="30" customHeight="1">
      <c r="A20" s="307" t="s">
        <v>43</v>
      </c>
      <c r="B20" s="277"/>
      <c r="C20" s="82">
        <f t="shared" si="3"/>
        <v>4369</v>
      </c>
      <c r="D20" s="82">
        <f t="shared" si="4"/>
        <v>35116</v>
      </c>
      <c r="E20" s="82">
        <v>15</v>
      </c>
      <c r="F20" s="82">
        <v>197</v>
      </c>
      <c r="G20" s="82">
        <f t="shared" si="5"/>
        <v>4354</v>
      </c>
      <c r="H20" s="82">
        <f t="shared" si="6"/>
        <v>34919</v>
      </c>
      <c r="I20" s="144">
        <v>2</v>
      </c>
      <c r="J20" s="144">
        <v>13</v>
      </c>
      <c r="K20" s="82">
        <v>397</v>
      </c>
      <c r="L20" s="82">
        <v>1958</v>
      </c>
      <c r="M20" s="82">
        <v>928</v>
      </c>
      <c r="N20" s="82">
        <v>9375</v>
      </c>
      <c r="O20" s="82">
        <v>2</v>
      </c>
      <c r="P20" s="82">
        <v>21</v>
      </c>
      <c r="Q20" s="82">
        <v>16</v>
      </c>
      <c r="R20" s="82">
        <v>196</v>
      </c>
      <c r="S20" s="82">
        <v>56</v>
      </c>
      <c r="T20" s="82">
        <v>1065</v>
      </c>
      <c r="U20" s="82">
        <v>1035</v>
      </c>
      <c r="V20" s="82">
        <v>6287</v>
      </c>
      <c r="W20" s="82">
        <v>46</v>
      </c>
      <c r="X20" s="82">
        <v>518</v>
      </c>
      <c r="Y20" s="82">
        <v>183</v>
      </c>
      <c r="Z20" s="82">
        <v>441</v>
      </c>
      <c r="AA20" s="82">
        <v>66</v>
      </c>
      <c r="AB20" s="82">
        <v>204</v>
      </c>
      <c r="AC20" s="82">
        <v>595</v>
      </c>
      <c r="AD20" s="82">
        <v>5078</v>
      </c>
      <c r="AE20" s="82">
        <v>384</v>
      </c>
      <c r="AF20" s="82">
        <v>1770</v>
      </c>
      <c r="AG20" s="123">
        <v>110</v>
      </c>
      <c r="AH20" s="123">
        <v>1047</v>
      </c>
      <c r="AI20" s="123">
        <v>244</v>
      </c>
      <c r="AJ20" s="123">
        <v>4389</v>
      </c>
      <c r="AK20" s="123">
        <v>27</v>
      </c>
      <c r="AL20" s="123">
        <v>300</v>
      </c>
      <c r="AM20" s="123">
        <v>232</v>
      </c>
      <c r="AN20" s="123">
        <v>1569</v>
      </c>
      <c r="AO20" s="123">
        <v>31</v>
      </c>
      <c r="AP20" s="123">
        <v>688</v>
      </c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</row>
    <row r="21" spans="1:232" s="15" customFormat="1" ht="30" customHeight="1">
      <c r="A21" s="307" t="s">
        <v>44</v>
      </c>
      <c r="B21" s="277"/>
      <c r="C21" s="82">
        <f t="shared" si="3"/>
        <v>1467</v>
      </c>
      <c r="D21" s="82">
        <f t="shared" si="4"/>
        <v>10625</v>
      </c>
      <c r="E21" s="82">
        <v>15</v>
      </c>
      <c r="F21" s="82">
        <v>129</v>
      </c>
      <c r="G21" s="82">
        <f>K21+M21+O21+Q21+S21+U21+W21+Y21+AA21+AC21+AE21+AG21+AI21+AK21+AM21+AO21</f>
        <v>1452</v>
      </c>
      <c r="H21" s="82">
        <f>L21+N21+P21+R21+T21+V21+X21+Z21+AB21+AD21+AF21+AH21+AJ21+AL21+AN21+AP21</f>
        <v>10496</v>
      </c>
      <c r="I21" s="144" t="s">
        <v>15</v>
      </c>
      <c r="J21" s="144" t="s">
        <v>147</v>
      </c>
      <c r="K21" s="82">
        <v>165</v>
      </c>
      <c r="L21" s="82">
        <v>912</v>
      </c>
      <c r="M21" s="82">
        <v>163</v>
      </c>
      <c r="N21" s="82">
        <v>2580</v>
      </c>
      <c r="O21" s="82">
        <v>1</v>
      </c>
      <c r="P21" s="82">
        <v>12</v>
      </c>
      <c r="Q21" s="82">
        <v>8</v>
      </c>
      <c r="R21" s="82">
        <v>27</v>
      </c>
      <c r="S21" s="82">
        <v>31</v>
      </c>
      <c r="T21" s="82">
        <v>458</v>
      </c>
      <c r="U21" s="82">
        <v>370</v>
      </c>
      <c r="V21" s="82">
        <v>1909</v>
      </c>
      <c r="W21" s="82">
        <v>17</v>
      </c>
      <c r="X21" s="82">
        <v>199</v>
      </c>
      <c r="Y21" s="82">
        <v>37</v>
      </c>
      <c r="Z21" s="82">
        <v>109</v>
      </c>
      <c r="AA21" s="82">
        <v>35</v>
      </c>
      <c r="AB21" s="82">
        <v>163</v>
      </c>
      <c r="AC21" s="82">
        <v>170</v>
      </c>
      <c r="AD21" s="82">
        <v>804</v>
      </c>
      <c r="AE21" s="82">
        <v>129</v>
      </c>
      <c r="AF21" s="82">
        <v>481</v>
      </c>
      <c r="AG21" s="123">
        <v>70</v>
      </c>
      <c r="AH21" s="123">
        <v>495</v>
      </c>
      <c r="AI21" s="123">
        <v>96</v>
      </c>
      <c r="AJ21" s="123">
        <v>1170</v>
      </c>
      <c r="AK21" s="123">
        <v>18</v>
      </c>
      <c r="AL21" s="123">
        <v>262</v>
      </c>
      <c r="AM21" s="123">
        <v>124</v>
      </c>
      <c r="AN21" s="123">
        <v>606</v>
      </c>
      <c r="AO21" s="123">
        <v>18</v>
      </c>
      <c r="AP21" s="123">
        <v>309</v>
      </c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</row>
    <row r="22" spans="1:232" s="15" customFormat="1" ht="30" customHeight="1">
      <c r="A22" s="307" t="s">
        <v>201</v>
      </c>
      <c r="B22" s="277"/>
      <c r="C22" s="82">
        <f t="shared" si="3"/>
        <v>1932</v>
      </c>
      <c r="D22" s="82">
        <f t="shared" si="4"/>
        <v>15639</v>
      </c>
      <c r="E22" s="82">
        <v>8</v>
      </c>
      <c r="F22" s="82">
        <v>53</v>
      </c>
      <c r="G22" s="82">
        <f t="shared" si="5"/>
        <v>1924</v>
      </c>
      <c r="H22" s="82">
        <f t="shared" si="6"/>
        <v>15586</v>
      </c>
      <c r="I22" s="82">
        <v>2</v>
      </c>
      <c r="J22" s="82">
        <v>8</v>
      </c>
      <c r="K22" s="82">
        <v>224</v>
      </c>
      <c r="L22" s="82">
        <v>1088</v>
      </c>
      <c r="M22" s="82">
        <v>574</v>
      </c>
      <c r="N22" s="82">
        <v>5921</v>
      </c>
      <c r="O22" s="82">
        <v>1</v>
      </c>
      <c r="P22" s="82">
        <v>11</v>
      </c>
      <c r="Q22" s="82">
        <v>11</v>
      </c>
      <c r="R22" s="82">
        <v>384</v>
      </c>
      <c r="S22" s="82">
        <v>44</v>
      </c>
      <c r="T22" s="82">
        <v>529</v>
      </c>
      <c r="U22" s="82">
        <v>407</v>
      </c>
      <c r="V22" s="82">
        <v>2627</v>
      </c>
      <c r="W22" s="82">
        <v>16</v>
      </c>
      <c r="X22" s="82">
        <v>194</v>
      </c>
      <c r="Y22" s="82">
        <v>51</v>
      </c>
      <c r="Z22" s="82">
        <v>108</v>
      </c>
      <c r="AA22" s="82">
        <v>35</v>
      </c>
      <c r="AB22" s="82">
        <v>208</v>
      </c>
      <c r="AC22" s="82">
        <v>125</v>
      </c>
      <c r="AD22" s="82">
        <v>891</v>
      </c>
      <c r="AE22" s="82">
        <v>148</v>
      </c>
      <c r="AF22" s="82">
        <v>662</v>
      </c>
      <c r="AG22" s="123">
        <v>61</v>
      </c>
      <c r="AH22" s="123">
        <v>508</v>
      </c>
      <c r="AI22" s="123">
        <v>107</v>
      </c>
      <c r="AJ22" s="123">
        <v>1516</v>
      </c>
      <c r="AK22" s="123">
        <v>9</v>
      </c>
      <c r="AL22" s="123">
        <v>93</v>
      </c>
      <c r="AM22" s="123">
        <v>96</v>
      </c>
      <c r="AN22" s="123">
        <v>605</v>
      </c>
      <c r="AO22" s="123">
        <v>13</v>
      </c>
      <c r="AP22" s="123">
        <v>233</v>
      </c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</row>
    <row r="23" spans="1:42" ht="30" customHeight="1">
      <c r="A23" s="307" t="s">
        <v>260</v>
      </c>
      <c r="B23" s="277"/>
      <c r="C23" s="82">
        <f t="shared" si="3"/>
        <v>5246</v>
      </c>
      <c r="D23" s="82">
        <f t="shared" si="4"/>
        <v>56176</v>
      </c>
      <c r="E23" s="82">
        <v>68</v>
      </c>
      <c r="F23" s="82">
        <v>689</v>
      </c>
      <c r="G23" s="82">
        <f t="shared" si="5"/>
        <v>5178</v>
      </c>
      <c r="H23" s="82">
        <f t="shared" si="6"/>
        <v>55487</v>
      </c>
      <c r="I23" s="82">
        <v>8</v>
      </c>
      <c r="J23" s="82">
        <v>53</v>
      </c>
      <c r="K23" s="82">
        <v>775</v>
      </c>
      <c r="L23" s="82">
        <v>4194</v>
      </c>
      <c r="M23" s="82">
        <v>713</v>
      </c>
      <c r="N23" s="82">
        <v>18516</v>
      </c>
      <c r="O23" s="82">
        <v>11</v>
      </c>
      <c r="P23" s="82">
        <v>169</v>
      </c>
      <c r="Q23" s="82">
        <v>46</v>
      </c>
      <c r="R23" s="82">
        <v>1306</v>
      </c>
      <c r="S23" s="82">
        <v>172</v>
      </c>
      <c r="T23" s="82">
        <v>4395</v>
      </c>
      <c r="U23" s="82">
        <v>1241</v>
      </c>
      <c r="V23" s="82">
        <v>9756</v>
      </c>
      <c r="W23" s="82">
        <v>62</v>
      </c>
      <c r="X23" s="82">
        <v>581</v>
      </c>
      <c r="Y23" s="82">
        <v>186</v>
      </c>
      <c r="Z23" s="82">
        <v>809</v>
      </c>
      <c r="AA23" s="82">
        <v>173</v>
      </c>
      <c r="AB23" s="82">
        <v>898</v>
      </c>
      <c r="AC23" s="82">
        <v>509</v>
      </c>
      <c r="AD23" s="82">
        <v>3408</v>
      </c>
      <c r="AE23" s="82">
        <v>346</v>
      </c>
      <c r="AF23" s="82">
        <v>1268</v>
      </c>
      <c r="AG23" s="123">
        <v>237</v>
      </c>
      <c r="AH23" s="123">
        <v>2015</v>
      </c>
      <c r="AI23" s="123">
        <v>300</v>
      </c>
      <c r="AJ23" s="123">
        <v>3939</v>
      </c>
      <c r="AK23" s="123">
        <v>40</v>
      </c>
      <c r="AL23" s="123">
        <v>621</v>
      </c>
      <c r="AM23" s="123">
        <v>301</v>
      </c>
      <c r="AN23" s="123">
        <v>2379</v>
      </c>
      <c r="AO23" s="123">
        <v>58</v>
      </c>
      <c r="AP23" s="123">
        <v>1180</v>
      </c>
    </row>
    <row r="24" spans="1:232" s="15" customFormat="1" ht="30" customHeight="1">
      <c r="A24" s="307" t="s">
        <v>202</v>
      </c>
      <c r="B24" s="277"/>
      <c r="C24" s="82">
        <f t="shared" si="3"/>
        <v>2396</v>
      </c>
      <c r="D24" s="82">
        <f t="shared" si="4"/>
        <v>23271</v>
      </c>
      <c r="E24" s="82">
        <v>19</v>
      </c>
      <c r="F24" s="82">
        <v>130</v>
      </c>
      <c r="G24" s="82">
        <f t="shared" si="5"/>
        <v>2377</v>
      </c>
      <c r="H24" s="82">
        <f t="shared" si="6"/>
        <v>23141</v>
      </c>
      <c r="I24" s="123">
        <v>1</v>
      </c>
      <c r="J24" s="123">
        <v>13</v>
      </c>
      <c r="K24" s="123">
        <v>324</v>
      </c>
      <c r="L24" s="123">
        <v>1485</v>
      </c>
      <c r="M24" s="123">
        <v>546</v>
      </c>
      <c r="N24" s="123">
        <v>9572</v>
      </c>
      <c r="O24" s="123">
        <v>2</v>
      </c>
      <c r="P24" s="123">
        <v>16</v>
      </c>
      <c r="Q24" s="123">
        <v>22</v>
      </c>
      <c r="R24" s="123">
        <v>304</v>
      </c>
      <c r="S24" s="123">
        <v>56</v>
      </c>
      <c r="T24" s="123">
        <v>886</v>
      </c>
      <c r="U24" s="123">
        <v>555</v>
      </c>
      <c r="V24" s="123">
        <v>3095</v>
      </c>
      <c r="W24" s="123">
        <v>21</v>
      </c>
      <c r="X24" s="123">
        <v>223</v>
      </c>
      <c r="Y24" s="123">
        <v>64</v>
      </c>
      <c r="Z24" s="123">
        <v>183</v>
      </c>
      <c r="AA24" s="123">
        <v>76</v>
      </c>
      <c r="AB24" s="123">
        <v>518</v>
      </c>
      <c r="AC24" s="123">
        <v>174</v>
      </c>
      <c r="AD24" s="123">
        <v>1095</v>
      </c>
      <c r="AE24" s="123">
        <v>142</v>
      </c>
      <c r="AF24" s="123">
        <v>730</v>
      </c>
      <c r="AG24" s="123">
        <v>113</v>
      </c>
      <c r="AH24" s="123">
        <v>1397</v>
      </c>
      <c r="AI24" s="123">
        <v>141</v>
      </c>
      <c r="AJ24" s="123">
        <v>2382</v>
      </c>
      <c r="AK24" s="123">
        <v>15</v>
      </c>
      <c r="AL24" s="123">
        <v>265</v>
      </c>
      <c r="AM24" s="123">
        <v>108</v>
      </c>
      <c r="AN24" s="123">
        <v>626</v>
      </c>
      <c r="AO24" s="123">
        <v>17</v>
      </c>
      <c r="AP24" s="123">
        <v>351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</row>
    <row r="25" spans="1:42" ht="30" customHeight="1">
      <c r="A25" s="124"/>
      <c r="B25" s="125"/>
      <c r="C25" s="81"/>
      <c r="D25" s="81"/>
      <c r="E25" s="126"/>
      <c r="F25" s="126"/>
      <c r="G25" s="88"/>
      <c r="H25" s="88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80"/>
      <c r="AH25" s="80"/>
      <c r="AI25" s="126"/>
      <c r="AJ25" s="126"/>
      <c r="AK25" s="80"/>
      <c r="AL25" s="80"/>
      <c r="AM25" s="126"/>
      <c r="AN25" s="126"/>
      <c r="AO25" s="126"/>
      <c r="AP25" s="126"/>
    </row>
    <row r="26" spans="1:42" ht="30" customHeight="1">
      <c r="A26" s="307" t="s">
        <v>45</v>
      </c>
      <c r="B26" s="277"/>
      <c r="C26" s="82">
        <f>E26+G26</f>
        <v>309</v>
      </c>
      <c r="D26" s="82">
        <f>F26+H26</f>
        <v>3026</v>
      </c>
      <c r="E26" s="82">
        <f>E27</f>
        <v>4</v>
      </c>
      <c r="F26" s="82">
        <f aca="true" t="shared" si="7" ref="F26:AF26">F27</f>
        <v>35</v>
      </c>
      <c r="G26" s="82">
        <f t="shared" si="7"/>
        <v>305</v>
      </c>
      <c r="H26" s="82">
        <f t="shared" si="7"/>
        <v>2991</v>
      </c>
      <c r="I26" s="82">
        <f t="shared" si="7"/>
        <v>2</v>
      </c>
      <c r="J26" s="82">
        <f t="shared" si="7"/>
        <v>36</v>
      </c>
      <c r="K26" s="82">
        <f t="shared" si="7"/>
        <v>58</v>
      </c>
      <c r="L26" s="82">
        <f t="shared" si="7"/>
        <v>322</v>
      </c>
      <c r="M26" s="82">
        <f t="shared" si="7"/>
        <v>64</v>
      </c>
      <c r="N26" s="82">
        <f t="shared" si="7"/>
        <v>977</v>
      </c>
      <c r="O26" s="82">
        <f t="shared" si="7"/>
        <v>1</v>
      </c>
      <c r="P26" s="82">
        <f t="shared" si="7"/>
        <v>1</v>
      </c>
      <c r="Q26" s="82">
        <f t="shared" si="7"/>
        <v>1</v>
      </c>
      <c r="R26" s="82">
        <f t="shared" si="7"/>
        <v>3</v>
      </c>
      <c r="S26" s="82">
        <f t="shared" si="7"/>
        <v>14</v>
      </c>
      <c r="T26" s="82">
        <f t="shared" si="7"/>
        <v>233</v>
      </c>
      <c r="U26" s="82">
        <f t="shared" si="7"/>
        <v>56</v>
      </c>
      <c r="V26" s="82">
        <f t="shared" si="7"/>
        <v>752</v>
      </c>
      <c r="W26" s="82">
        <f t="shared" si="7"/>
        <v>4</v>
      </c>
      <c r="X26" s="82">
        <f t="shared" si="7"/>
        <v>17</v>
      </c>
      <c r="Y26" s="82">
        <f t="shared" si="7"/>
        <v>4</v>
      </c>
      <c r="Z26" s="82">
        <f t="shared" si="7"/>
        <v>25</v>
      </c>
      <c r="AA26" s="82">
        <f t="shared" si="7"/>
        <v>6</v>
      </c>
      <c r="AB26" s="82">
        <f t="shared" si="7"/>
        <v>64</v>
      </c>
      <c r="AC26" s="82">
        <f t="shared" si="7"/>
        <v>12</v>
      </c>
      <c r="AD26" s="82">
        <f t="shared" si="7"/>
        <v>104</v>
      </c>
      <c r="AE26" s="82">
        <f t="shared" si="7"/>
        <v>18</v>
      </c>
      <c r="AF26" s="82">
        <f t="shared" si="7"/>
        <v>54</v>
      </c>
      <c r="AG26" s="82">
        <f aca="true" t="shared" si="8" ref="AG26:AP26">AG27</f>
        <v>26</v>
      </c>
      <c r="AH26" s="82">
        <f t="shared" si="8"/>
        <v>106</v>
      </c>
      <c r="AI26" s="82">
        <f t="shared" si="8"/>
        <v>18</v>
      </c>
      <c r="AJ26" s="82">
        <f t="shared" si="8"/>
        <v>187</v>
      </c>
      <c r="AK26" s="82">
        <f t="shared" si="8"/>
        <v>2</v>
      </c>
      <c r="AL26" s="82">
        <f t="shared" si="8"/>
        <v>23</v>
      </c>
      <c r="AM26" s="82">
        <f t="shared" si="8"/>
        <v>13</v>
      </c>
      <c r="AN26" s="82">
        <f t="shared" si="8"/>
        <v>37</v>
      </c>
      <c r="AO26" s="82">
        <f t="shared" si="8"/>
        <v>6</v>
      </c>
      <c r="AP26" s="82">
        <f t="shared" si="8"/>
        <v>50</v>
      </c>
    </row>
    <row r="27" spans="1:232" ht="30" customHeight="1">
      <c r="A27" s="134"/>
      <c r="B27" s="125" t="s">
        <v>205</v>
      </c>
      <c r="C27" s="81">
        <f>E27+G27</f>
        <v>309</v>
      </c>
      <c r="D27" s="81">
        <f>F27+H27</f>
        <v>3026</v>
      </c>
      <c r="E27" s="80">
        <v>4</v>
      </c>
      <c r="F27" s="80">
        <v>35</v>
      </c>
      <c r="G27" s="177">
        <f>I27+K27+M27+O27+Q27+S27+U27+W27+Y27+AA27+AC27+AE27+AG27+AI27+AK27+AM27+AO27</f>
        <v>305</v>
      </c>
      <c r="H27" s="177">
        <f>J27+L27+N27+P27+R27+T27+V27+X27+Z27+AB27+AD27+AF27+AH27+AJ27+AL27+AN27+AP27</f>
        <v>2991</v>
      </c>
      <c r="I27" s="33">
        <v>2</v>
      </c>
      <c r="J27" s="33">
        <v>36</v>
      </c>
      <c r="K27" s="80">
        <v>58</v>
      </c>
      <c r="L27" s="80">
        <v>322</v>
      </c>
      <c r="M27" s="80">
        <v>64</v>
      </c>
      <c r="N27" s="80">
        <v>977</v>
      </c>
      <c r="O27" s="33">
        <v>1</v>
      </c>
      <c r="P27" s="33">
        <v>1</v>
      </c>
      <c r="Q27" s="80">
        <v>1</v>
      </c>
      <c r="R27" s="80">
        <v>3</v>
      </c>
      <c r="S27" s="80">
        <v>14</v>
      </c>
      <c r="T27" s="80">
        <v>233</v>
      </c>
      <c r="U27" s="80">
        <v>56</v>
      </c>
      <c r="V27" s="80">
        <v>752</v>
      </c>
      <c r="W27" s="80">
        <v>4</v>
      </c>
      <c r="X27" s="80">
        <v>17</v>
      </c>
      <c r="Y27" s="80">
        <v>4</v>
      </c>
      <c r="Z27" s="80">
        <v>25</v>
      </c>
      <c r="AA27" s="80">
        <v>6</v>
      </c>
      <c r="AB27" s="80">
        <v>64</v>
      </c>
      <c r="AC27" s="80">
        <v>12</v>
      </c>
      <c r="AD27" s="80">
        <v>104</v>
      </c>
      <c r="AE27" s="80">
        <v>18</v>
      </c>
      <c r="AF27" s="80">
        <v>54</v>
      </c>
      <c r="AG27" s="80">
        <v>26</v>
      </c>
      <c r="AH27" s="80">
        <v>106</v>
      </c>
      <c r="AI27" s="80">
        <v>18</v>
      </c>
      <c r="AJ27" s="80">
        <v>187</v>
      </c>
      <c r="AK27" s="80">
        <v>2</v>
      </c>
      <c r="AL27" s="80">
        <v>23</v>
      </c>
      <c r="AM27" s="80">
        <v>13</v>
      </c>
      <c r="AN27" s="80">
        <v>37</v>
      </c>
      <c r="AO27" s="80">
        <v>6</v>
      </c>
      <c r="AP27" s="80">
        <v>50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</row>
    <row r="28" spans="1:42" ht="30" customHeight="1">
      <c r="A28" s="134"/>
      <c r="B28" s="125"/>
      <c r="C28" s="81"/>
      <c r="D28" s="81"/>
      <c r="E28" s="126"/>
      <c r="F28" s="126"/>
      <c r="G28" s="88"/>
      <c r="H28" s="88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80"/>
      <c r="AH28" s="80"/>
      <c r="AI28" s="126"/>
      <c r="AJ28" s="126"/>
      <c r="AK28" s="80"/>
      <c r="AL28" s="80"/>
      <c r="AM28" s="126"/>
      <c r="AN28" s="126"/>
      <c r="AO28" s="126"/>
      <c r="AP28" s="126"/>
    </row>
    <row r="29" spans="1:42" ht="30" customHeight="1">
      <c r="A29" s="307" t="s">
        <v>206</v>
      </c>
      <c r="B29" s="277"/>
      <c r="C29" s="82">
        <f>E29+G29</f>
        <v>2534</v>
      </c>
      <c r="D29" s="82">
        <f>F29+H29</f>
        <v>25640</v>
      </c>
      <c r="E29" s="82">
        <f>E30</f>
        <v>2</v>
      </c>
      <c r="F29" s="82">
        <f aca="true" t="shared" si="9" ref="F29:AP29">F30</f>
        <v>28</v>
      </c>
      <c r="G29" s="82">
        <f t="shared" si="9"/>
        <v>2532</v>
      </c>
      <c r="H29" s="82">
        <f t="shared" si="9"/>
        <v>25612</v>
      </c>
      <c r="I29" s="123" t="str">
        <f t="shared" si="9"/>
        <v>－</v>
      </c>
      <c r="J29" s="123" t="str">
        <f t="shared" si="9"/>
        <v>－</v>
      </c>
      <c r="K29" s="82">
        <f t="shared" si="9"/>
        <v>276</v>
      </c>
      <c r="L29" s="82">
        <f t="shared" si="9"/>
        <v>1987</v>
      </c>
      <c r="M29" s="82">
        <f t="shared" si="9"/>
        <v>134</v>
      </c>
      <c r="N29" s="82">
        <f t="shared" si="9"/>
        <v>2137</v>
      </c>
      <c r="O29" s="82">
        <f t="shared" si="9"/>
        <v>1</v>
      </c>
      <c r="P29" s="82">
        <f t="shared" si="9"/>
        <v>8</v>
      </c>
      <c r="Q29" s="82">
        <f t="shared" si="9"/>
        <v>26</v>
      </c>
      <c r="R29" s="82">
        <f t="shared" si="9"/>
        <v>235</v>
      </c>
      <c r="S29" s="82">
        <f t="shared" si="9"/>
        <v>59</v>
      </c>
      <c r="T29" s="82">
        <f t="shared" si="9"/>
        <v>1447</v>
      </c>
      <c r="U29" s="82">
        <f t="shared" si="9"/>
        <v>704</v>
      </c>
      <c r="V29" s="82">
        <f t="shared" si="9"/>
        <v>7884</v>
      </c>
      <c r="W29" s="82">
        <f t="shared" si="9"/>
        <v>44</v>
      </c>
      <c r="X29" s="82">
        <f t="shared" si="9"/>
        <v>401</v>
      </c>
      <c r="Y29" s="82">
        <f t="shared" si="9"/>
        <v>222</v>
      </c>
      <c r="Z29" s="82">
        <f t="shared" si="9"/>
        <v>685</v>
      </c>
      <c r="AA29" s="82">
        <f t="shared" si="9"/>
        <v>92</v>
      </c>
      <c r="AB29" s="82">
        <f t="shared" si="9"/>
        <v>734</v>
      </c>
      <c r="AC29" s="82">
        <f t="shared" si="9"/>
        <v>329</v>
      </c>
      <c r="AD29" s="82">
        <f t="shared" si="9"/>
        <v>3159</v>
      </c>
      <c r="AE29" s="82">
        <f t="shared" si="9"/>
        <v>251</v>
      </c>
      <c r="AF29" s="82">
        <f t="shared" si="9"/>
        <v>1733</v>
      </c>
      <c r="AG29" s="82">
        <f t="shared" si="9"/>
        <v>86</v>
      </c>
      <c r="AH29" s="82">
        <f t="shared" si="9"/>
        <v>1604</v>
      </c>
      <c r="AI29" s="82">
        <f t="shared" si="9"/>
        <v>156</v>
      </c>
      <c r="AJ29" s="82">
        <f t="shared" si="9"/>
        <v>2205</v>
      </c>
      <c r="AK29" s="82">
        <f t="shared" si="9"/>
        <v>11</v>
      </c>
      <c r="AL29" s="82">
        <f t="shared" si="9"/>
        <v>133</v>
      </c>
      <c r="AM29" s="82">
        <f t="shared" si="9"/>
        <v>133</v>
      </c>
      <c r="AN29" s="82">
        <f t="shared" si="9"/>
        <v>940</v>
      </c>
      <c r="AO29" s="82">
        <f t="shared" si="9"/>
        <v>8</v>
      </c>
      <c r="AP29" s="82">
        <f t="shared" si="9"/>
        <v>320</v>
      </c>
    </row>
    <row r="30" spans="1:42" ht="30" customHeight="1">
      <c r="A30" s="124"/>
      <c r="B30" s="125" t="s">
        <v>207</v>
      </c>
      <c r="C30" s="81">
        <f>E30+G30</f>
        <v>2534</v>
      </c>
      <c r="D30" s="81">
        <f>F30+H30</f>
        <v>25640</v>
      </c>
      <c r="E30" s="80">
        <v>2</v>
      </c>
      <c r="F30" s="80">
        <v>28</v>
      </c>
      <c r="G30" s="177">
        <f>K30+M30+O30+Q30+S30+U30+W30+Y30+AA30+AC30+AE30+AG30+AI30+AK30+AM30+AO30</f>
        <v>2532</v>
      </c>
      <c r="H30" s="177">
        <f>L30+N30+P30+R30+T30+V30+X30+Z30+AB30+AD30+AF30+AH30+AJ30+AL30+AN30+AP30</f>
        <v>25612</v>
      </c>
      <c r="I30" s="160" t="s">
        <v>15</v>
      </c>
      <c r="J30" s="160" t="s">
        <v>15</v>
      </c>
      <c r="K30" s="80">
        <v>276</v>
      </c>
      <c r="L30" s="80">
        <v>1987</v>
      </c>
      <c r="M30" s="80">
        <v>134</v>
      </c>
      <c r="N30" s="80">
        <v>2137</v>
      </c>
      <c r="O30" s="80">
        <v>1</v>
      </c>
      <c r="P30" s="80">
        <v>8</v>
      </c>
      <c r="Q30" s="80">
        <v>26</v>
      </c>
      <c r="R30" s="80">
        <v>235</v>
      </c>
      <c r="S30" s="80">
        <v>59</v>
      </c>
      <c r="T30" s="80">
        <v>1447</v>
      </c>
      <c r="U30" s="80">
        <v>704</v>
      </c>
      <c r="V30" s="80">
        <v>7884</v>
      </c>
      <c r="W30" s="80">
        <v>44</v>
      </c>
      <c r="X30" s="80">
        <v>401</v>
      </c>
      <c r="Y30" s="80">
        <v>222</v>
      </c>
      <c r="Z30" s="80">
        <v>685</v>
      </c>
      <c r="AA30" s="80">
        <v>92</v>
      </c>
      <c r="AB30" s="80">
        <v>734</v>
      </c>
      <c r="AC30" s="80">
        <v>329</v>
      </c>
      <c r="AD30" s="80">
        <v>3159</v>
      </c>
      <c r="AE30" s="80">
        <v>251</v>
      </c>
      <c r="AF30" s="80">
        <v>1733</v>
      </c>
      <c r="AG30" s="80">
        <v>86</v>
      </c>
      <c r="AH30" s="80">
        <v>1604</v>
      </c>
      <c r="AI30" s="80">
        <v>156</v>
      </c>
      <c r="AJ30" s="80">
        <v>2205</v>
      </c>
      <c r="AK30" s="80">
        <v>11</v>
      </c>
      <c r="AL30" s="80">
        <v>133</v>
      </c>
      <c r="AM30" s="80">
        <v>133</v>
      </c>
      <c r="AN30" s="80">
        <v>940</v>
      </c>
      <c r="AO30" s="80">
        <v>8</v>
      </c>
      <c r="AP30" s="80">
        <v>320</v>
      </c>
    </row>
    <row r="31" spans="1:42" ht="30" customHeight="1">
      <c r="A31" s="124"/>
      <c r="B31" s="125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80"/>
      <c r="AH31" s="80"/>
      <c r="AI31" s="126"/>
      <c r="AJ31" s="126"/>
      <c r="AK31" s="80"/>
      <c r="AL31" s="80"/>
      <c r="AM31" s="126"/>
      <c r="AN31" s="126"/>
      <c r="AO31" s="126"/>
      <c r="AP31" s="126"/>
    </row>
    <row r="32" spans="1:42" ht="30" customHeight="1">
      <c r="A32" s="307" t="s">
        <v>208</v>
      </c>
      <c r="B32" s="277"/>
      <c r="C32" s="82">
        <f aca="true" t="shared" si="10" ref="C32:D34">E32+G32</f>
        <v>2238</v>
      </c>
      <c r="D32" s="82">
        <f t="shared" si="10"/>
        <v>18681</v>
      </c>
      <c r="E32" s="82">
        <f>E33+E34</f>
        <v>12</v>
      </c>
      <c r="F32" s="82">
        <f aca="true" t="shared" si="11" ref="F32:AP32">F33+F34</f>
        <v>87</v>
      </c>
      <c r="G32" s="82">
        <f t="shared" si="11"/>
        <v>2226</v>
      </c>
      <c r="H32" s="82">
        <f t="shared" si="11"/>
        <v>18594</v>
      </c>
      <c r="I32" s="123" t="s">
        <v>15</v>
      </c>
      <c r="J32" s="123" t="s">
        <v>15</v>
      </c>
      <c r="K32" s="82">
        <f t="shared" si="11"/>
        <v>413</v>
      </c>
      <c r="L32" s="82">
        <f t="shared" si="11"/>
        <v>1813</v>
      </c>
      <c r="M32" s="82">
        <f t="shared" si="11"/>
        <v>248</v>
      </c>
      <c r="N32" s="82">
        <f t="shared" si="11"/>
        <v>3330</v>
      </c>
      <c r="O32" s="82">
        <f t="shared" si="11"/>
        <v>3</v>
      </c>
      <c r="P32" s="82">
        <f t="shared" si="11"/>
        <v>33</v>
      </c>
      <c r="Q32" s="82">
        <f t="shared" si="11"/>
        <v>18</v>
      </c>
      <c r="R32" s="82">
        <f t="shared" si="11"/>
        <v>46</v>
      </c>
      <c r="S32" s="82">
        <f t="shared" si="11"/>
        <v>37</v>
      </c>
      <c r="T32" s="82">
        <f t="shared" si="11"/>
        <v>331</v>
      </c>
      <c r="U32" s="82">
        <f t="shared" si="11"/>
        <v>455</v>
      </c>
      <c r="V32" s="82">
        <f t="shared" si="11"/>
        <v>3511</v>
      </c>
      <c r="W32" s="82">
        <f t="shared" si="11"/>
        <v>24</v>
      </c>
      <c r="X32" s="82">
        <f t="shared" si="11"/>
        <v>244</v>
      </c>
      <c r="Y32" s="82">
        <f t="shared" si="11"/>
        <v>67</v>
      </c>
      <c r="Z32" s="82">
        <f t="shared" si="11"/>
        <v>207</v>
      </c>
      <c r="AA32" s="82">
        <f t="shared" si="11"/>
        <v>53</v>
      </c>
      <c r="AB32" s="82">
        <f t="shared" si="11"/>
        <v>231</v>
      </c>
      <c r="AC32" s="82">
        <f t="shared" si="11"/>
        <v>212</v>
      </c>
      <c r="AD32" s="82">
        <f t="shared" si="11"/>
        <v>1346</v>
      </c>
      <c r="AE32" s="82">
        <f t="shared" si="11"/>
        <v>217</v>
      </c>
      <c r="AF32" s="82">
        <f t="shared" si="11"/>
        <v>858</v>
      </c>
      <c r="AG32" s="82">
        <f t="shared" si="11"/>
        <v>153</v>
      </c>
      <c r="AH32" s="82">
        <f t="shared" si="11"/>
        <v>1133</v>
      </c>
      <c r="AI32" s="82">
        <f t="shared" si="11"/>
        <v>177</v>
      </c>
      <c r="AJ32" s="82">
        <f t="shared" si="11"/>
        <v>4105</v>
      </c>
      <c r="AK32" s="82">
        <f t="shared" si="11"/>
        <v>13</v>
      </c>
      <c r="AL32" s="82">
        <f t="shared" si="11"/>
        <v>365</v>
      </c>
      <c r="AM32" s="82">
        <f t="shared" si="11"/>
        <v>117</v>
      </c>
      <c r="AN32" s="82">
        <f t="shared" si="11"/>
        <v>476</v>
      </c>
      <c r="AO32" s="82">
        <f t="shared" si="11"/>
        <v>19</v>
      </c>
      <c r="AP32" s="82">
        <f t="shared" si="11"/>
        <v>565</v>
      </c>
    </row>
    <row r="33" spans="1:232" ht="30" customHeight="1">
      <c r="A33" s="124"/>
      <c r="B33" s="125" t="s">
        <v>209</v>
      </c>
      <c r="C33" s="81">
        <f t="shared" si="10"/>
        <v>1236</v>
      </c>
      <c r="D33" s="81">
        <f t="shared" si="10"/>
        <v>11099</v>
      </c>
      <c r="E33" s="80">
        <v>7</v>
      </c>
      <c r="F33" s="80">
        <v>34</v>
      </c>
      <c r="G33" s="177">
        <f>K33+M33+O33+Q33+S33+U33+W33+Y33+AA33+AC33+AE33+AG33+AI33+AK33+AM33+AO33</f>
        <v>1229</v>
      </c>
      <c r="H33" s="177">
        <f>L33+N33+P33+R33+T33+V33+X33+Z33+AB33+AD33+AF33+AH33+AJ33+AL33+AN33+AP33</f>
        <v>11065</v>
      </c>
      <c r="I33" s="160" t="s">
        <v>15</v>
      </c>
      <c r="J33" s="160" t="s">
        <v>15</v>
      </c>
      <c r="K33" s="80">
        <v>217</v>
      </c>
      <c r="L33" s="80">
        <v>1103</v>
      </c>
      <c r="M33" s="80">
        <v>147</v>
      </c>
      <c r="N33" s="80">
        <v>2745</v>
      </c>
      <c r="O33" s="80">
        <v>2</v>
      </c>
      <c r="P33" s="80">
        <v>23</v>
      </c>
      <c r="Q33" s="80">
        <v>9</v>
      </c>
      <c r="R33" s="80">
        <v>24</v>
      </c>
      <c r="S33" s="80">
        <v>19</v>
      </c>
      <c r="T33" s="80">
        <v>203</v>
      </c>
      <c r="U33" s="80">
        <v>269</v>
      </c>
      <c r="V33" s="80">
        <v>2367</v>
      </c>
      <c r="W33" s="80">
        <v>9</v>
      </c>
      <c r="X33" s="80">
        <v>117</v>
      </c>
      <c r="Y33" s="80">
        <v>40</v>
      </c>
      <c r="Z33" s="80">
        <v>131</v>
      </c>
      <c r="AA33" s="80">
        <v>28</v>
      </c>
      <c r="AB33" s="80">
        <v>133</v>
      </c>
      <c r="AC33" s="80">
        <v>110</v>
      </c>
      <c r="AD33" s="80">
        <v>809</v>
      </c>
      <c r="AE33" s="80">
        <v>112</v>
      </c>
      <c r="AF33" s="80">
        <v>490</v>
      </c>
      <c r="AG33" s="80">
        <v>74</v>
      </c>
      <c r="AH33" s="80">
        <v>737</v>
      </c>
      <c r="AI33" s="80">
        <v>90</v>
      </c>
      <c r="AJ33" s="80">
        <v>1128</v>
      </c>
      <c r="AK33" s="80">
        <v>8</v>
      </c>
      <c r="AL33" s="80">
        <v>335</v>
      </c>
      <c r="AM33" s="80">
        <v>82</v>
      </c>
      <c r="AN33" s="80">
        <v>326</v>
      </c>
      <c r="AO33" s="80">
        <v>13</v>
      </c>
      <c r="AP33" s="80">
        <v>394</v>
      </c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</row>
    <row r="34" spans="1:42" ht="30" customHeight="1">
      <c r="A34" s="124"/>
      <c r="B34" s="125" t="s">
        <v>210</v>
      </c>
      <c r="C34" s="81">
        <f t="shared" si="10"/>
        <v>1002</v>
      </c>
      <c r="D34" s="81">
        <f t="shared" si="10"/>
        <v>7582</v>
      </c>
      <c r="E34" s="80">
        <v>5</v>
      </c>
      <c r="F34" s="80">
        <v>53</v>
      </c>
      <c r="G34" s="177">
        <f>K34+M34+O34+Q34+S34+U34+W34+Y34+AA34+AC34+AE34+AG34+AI34+AK34+AM34+AO34</f>
        <v>997</v>
      </c>
      <c r="H34" s="177">
        <f>L34+N34+P34+R34+T34+V34+X34+Z34+AB34+AD34+AF34+AH34+AJ34+AL34+AN34+AP34</f>
        <v>7529</v>
      </c>
      <c r="I34" s="160" t="s">
        <v>15</v>
      </c>
      <c r="J34" s="160" t="s">
        <v>15</v>
      </c>
      <c r="K34" s="80">
        <v>196</v>
      </c>
      <c r="L34" s="80">
        <v>710</v>
      </c>
      <c r="M34" s="80">
        <v>101</v>
      </c>
      <c r="N34" s="80">
        <v>585</v>
      </c>
      <c r="O34" s="80">
        <v>1</v>
      </c>
      <c r="P34" s="80">
        <v>10</v>
      </c>
      <c r="Q34" s="80">
        <v>9</v>
      </c>
      <c r="R34" s="80">
        <v>22</v>
      </c>
      <c r="S34" s="80">
        <v>18</v>
      </c>
      <c r="T34" s="80">
        <v>128</v>
      </c>
      <c r="U34" s="80">
        <v>186</v>
      </c>
      <c r="V34" s="80">
        <v>1144</v>
      </c>
      <c r="W34" s="80">
        <v>15</v>
      </c>
      <c r="X34" s="80">
        <v>127</v>
      </c>
      <c r="Y34" s="80">
        <v>27</v>
      </c>
      <c r="Z34" s="80">
        <v>76</v>
      </c>
      <c r="AA34" s="80">
        <v>25</v>
      </c>
      <c r="AB34" s="80">
        <v>98</v>
      </c>
      <c r="AC34" s="80">
        <v>102</v>
      </c>
      <c r="AD34" s="80">
        <v>537</v>
      </c>
      <c r="AE34" s="80">
        <v>105</v>
      </c>
      <c r="AF34" s="80">
        <v>368</v>
      </c>
      <c r="AG34" s="80">
        <v>79</v>
      </c>
      <c r="AH34" s="80">
        <v>396</v>
      </c>
      <c r="AI34" s="80">
        <v>87</v>
      </c>
      <c r="AJ34" s="80">
        <v>2977</v>
      </c>
      <c r="AK34" s="80">
        <v>5</v>
      </c>
      <c r="AL34" s="80">
        <v>30</v>
      </c>
      <c r="AM34" s="80">
        <v>35</v>
      </c>
      <c r="AN34" s="80">
        <v>150</v>
      </c>
      <c r="AO34" s="80">
        <v>6</v>
      </c>
      <c r="AP34" s="80">
        <v>171</v>
      </c>
    </row>
    <row r="35" spans="1:42" ht="30" customHeight="1">
      <c r="A35" s="124"/>
      <c r="B35" s="125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123"/>
      <c r="AD35" s="123"/>
      <c r="AE35" s="123"/>
      <c r="AF35" s="123"/>
      <c r="AG35" s="80"/>
      <c r="AH35" s="80"/>
      <c r="AI35" s="126"/>
      <c r="AJ35" s="126"/>
      <c r="AK35" s="80"/>
      <c r="AL35" s="80"/>
      <c r="AM35" s="126"/>
      <c r="AN35" s="126"/>
      <c r="AO35" s="126"/>
      <c r="AP35" s="126"/>
    </row>
    <row r="36" spans="1:42" ht="30" customHeight="1">
      <c r="A36" s="307" t="s">
        <v>83</v>
      </c>
      <c r="B36" s="277"/>
      <c r="C36" s="82">
        <f aca="true" t="shared" si="12" ref="C36:D38">E36+G36</f>
        <v>1973</v>
      </c>
      <c r="D36" s="82">
        <f t="shared" si="12"/>
        <v>15227</v>
      </c>
      <c r="E36" s="82">
        <f>E37+E38</f>
        <v>45</v>
      </c>
      <c r="F36" s="82">
        <f aca="true" t="shared" si="13" ref="F36:AP36">F37+F38</f>
        <v>418</v>
      </c>
      <c r="G36" s="82">
        <f t="shared" si="13"/>
        <v>1928</v>
      </c>
      <c r="H36" s="82">
        <f t="shared" si="13"/>
        <v>14809</v>
      </c>
      <c r="I36" s="82">
        <f>I38</f>
        <v>2</v>
      </c>
      <c r="J36" s="82">
        <f>J38</f>
        <v>15</v>
      </c>
      <c r="K36" s="82">
        <f t="shared" si="13"/>
        <v>332</v>
      </c>
      <c r="L36" s="82">
        <f t="shared" si="13"/>
        <v>1851</v>
      </c>
      <c r="M36" s="82">
        <f t="shared" si="13"/>
        <v>240</v>
      </c>
      <c r="N36" s="82">
        <f t="shared" si="13"/>
        <v>4206</v>
      </c>
      <c r="O36" s="82">
        <f t="shared" si="13"/>
        <v>7</v>
      </c>
      <c r="P36" s="82">
        <f t="shared" si="13"/>
        <v>486</v>
      </c>
      <c r="Q36" s="82">
        <f t="shared" si="13"/>
        <v>4</v>
      </c>
      <c r="R36" s="82">
        <f t="shared" si="13"/>
        <v>7</v>
      </c>
      <c r="S36" s="82">
        <f t="shared" si="13"/>
        <v>43</v>
      </c>
      <c r="T36" s="82">
        <f t="shared" si="13"/>
        <v>476</v>
      </c>
      <c r="U36" s="82">
        <f t="shared" si="13"/>
        <v>451</v>
      </c>
      <c r="V36" s="82">
        <f t="shared" si="13"/>
        <v>2267</v>
      </c>
      <c r="W36" s="82">
        <f t="shared" si="13"/>
        <v>18</v>
      </c>
      <c r="X36" s="82">
        <f t="shared" si="13"/>
        <v>137</v>
      </c>
      <c r="Y36" s="82">
        <f t="shared" si="13"/>
        <v>20</v>
      </c>
      <c r="Z36" s="82">
        <f t="shared" si="13"/>
        <v>111</v>
      </c>
      <c r="AA36" s="82">
        <f t="shared" si="13"/>
        <v>30</v>
      </c>
      <c r="AB36" s="82">
        <f t="shared" si="13"/>
        <v>165</v>
      </c>
      <c r="AC36" s="82">
        <f t="shared" si="13"/>
        <v>195</v>
      </c>
      <c r="AD36" s="82">
        <f t="shared" si="13"/>
        <v>1036</v>
      </c>
      <c r="AE36" s="82">
        <f t="shared" si="13"/>
        <v>167</v>
      </c>
      <c r="AF36" s="82">
        <f t="shared" si="13"/>
        <v>631</v>
      </c>
      <c r="AG36" s="82">
        <f t="shared" si="13"/>
        <v>60</v>
      </c>
      <c r="AH36" s="82">
        <f t="shared" si="13"/>
        <v>447</v>
      </c>
      <c r="AI36" s="82">
        <f t="shared" si="13"/>
        <v>106</v>
      </c>
      <c r="AJ36" s="82">
        <f t="shared" si="13"/>
        <v>1564</v>
      </c>
      <c r="AK36" s="82">
        <f t="shared" si="13"/>
        <v>34</v>
      </c>
      <c r="AL36" s="82">
        <f t="shared" si="13"/>
        <v>253</v>
      </c>
      <c r="AM36" s="82">
        <f t="shared" si="13"/>
        <v>191</v>
      </c>
      <c r="AN36" s="82">
        <f t="shared" si="13"/>
        <v>780</v>
      </c>
      <c r="AO36" s="82">
        <f t="shared" si="13"/>
        <v>28</v>
      </c>
      <c r="AP36" s="82">
        <f t="shared" si="13"/>
        <v>377</v>
      </c>
    </row>
    <row r="37" spans="1:42" ht="30" customHeight="1">
      <c r="A37" s="127"/>
      <c r="B37" s="125" t="s">
        <v>84</v>
      </c>
      <c r="C37" s="81">
        <f t="shared" si="12"/>
        <v>1352</v>
      </c>
      <c r="D37" s="81">
        <f t="shared" si="12"/>
        <v>10331</v>
      </c>
      <c r="E37" s="80">
        <v>26</v>
      </c>
      <c r="F37" s="80">
        <v>279</v>
      </c>
      <c r="G37" s="177">
        <f>K37+M37+O37+Q37+S37+U37+W37+Y37+AA37+AC37+AE37+AG37+AI37+AK37+AM37+AO37</f>
        <v>1326</v>
      </c>
      <c r="H37" s="177">
        <f>L37+N37+P37+R37+T37+V37+X37+Z37+AB37+AD37+AF37+AH37+AJ37+AL37+AN37+AP37</f>
        <v>10052</v>
      </c>
      <c r="I37" s="160" t="s">
        <v>15</v>
      </c>
      <c r="J37" s="160" t="s">
        <v>15</v>
      </c>
      <c r="K37" s="80">
        <v>238</v>
      </c>
      <c r="L37" s="80">
        <v>1278</v>
      </c>
      <c r="M37" s="80">
        <v>138</v>
      </c>
      <c r="N37" s="80">
        <v>2651</v>
      </c>
      <c r="O37" s="80">
        <v>5</v>
      </c>
      <c r="P37" s="80">
        <v>459</v>
      </c>
      <c r="Q37" s="80">
        <v>3</v>
      </c>
      <c r="R37" s="80">
        <v>6</v>
      </c>
      <c r="S37" s="80">
        <v>34</v>
      </c>
      <c r="T37" s="80">
        <v>331</v>
      </c>
      <c r="U37" s="80">
        <v>313</v>
      </c>
      <c r="V37" s="80">
        <v>1541</v>
      </c>
      <c r="W37" s="80">
        <v>10</v>
      </c>
      <c r="X37" s="80">
        <v>96</v>
      </c>
      <c r="Y37" s="80">
        <v>18</v>
      </c>
      <c r="Z37" s="80">
        <v>93</v>
      </c>
      <c r="AA37" s="80">
        <v>26</v>
      </c>
      <c r="AB37" s="80">
        <v>126</v>
      </c>
      <c r="AC37" s="80">
        <v>150</v>
      </c>
      <c r="AD37" s="80">
        <v>766</v>
      </c>
      <c r="AE37" s="80">
        <v>108</v>
      </c>
      <c r="AF37" s="80">
        <v>380</v>
      </c>
      <c r="AG37" s="80">
        <v>41</v>
      </c>
      <c r="AH37" s="80">
        <v>293</v>
      </c>
      <c r="AI37" s="80">
        <v>69</v>
      </c>
      <c r="AJ37" s="80">
        <v>968</v>
      </c>
      <c r="AK37" s="80">
        <v>28</v>
      </c>
      <c r="AL37" s="80">
        <v>192</v>
      </c>
      <c r="AM37" s="80">
        <v>128</v>
      </c>
      <c r="AN37" s="80">
        <v>646</v>
      </c>
      <c r="AO37" s="80">
        <v>17</v>
      </c>
      <c r="AP37" s="80">
        <v>226</v>
      </c>
    </row>
    <row r="38" spans="1:42" ht="30" customHeight="1">
      <c r="A38" s="127"/>
      <c r="B38" s="128" t="s">
        <v>203</v>
      </c>
      <c r="C38" s="81">
        <f t="shared" si="12"/>
        <v>621</v>
      </c>
      <c r="D38" s="81">
        <f t="shared" si="12"/>
        <v>4896</v>
      </c>
      <c r="E38" s="80">
        <v>19</v>
      </c>
      <c r="F38" s="80">
        <v>139</v>
      </c>
      <c r="G38" s="177">
        <f>I38+K38+M38+O38+Q38+S38+U38+W38+Y38+AA38+AC38+AE38+AG38+AI38+AK38+AM38+AO38</f>
        <v>602</v>
      </c>
      <c r="H38" s="177">
        <f>J38+L38+N38+P38+R38+T38+V38+X38+Z38+AB38+AD38+AF38+AH38+AJ38+AL38+AN38+AP38</f>
        <v>4757</v>
      </c>
      <c r="I38" s="80">
        <v>2</v>
      </c>
      <c r="J38" s="80">
        <v>15</v>
      </c>
      <c r="K38" s="80">
        <v>94</v>
      </c>
      <c r="L38" s="80">
        <v>573</v>
      </c>
      <c r="M38" s="80">
        <v>102</v>
      </c>
      <c r="N38" s="80">
        <v>1555</v>
      </c>
      <c r="O38" s="80">
        <v>2</v>
      </c>
      <c r="P38" s="80">
        <v>27</v>
      </c>
      <c r="Q38" s="80">
        <v>1</v>
      </c>
      <c r="R38" s="80">
        <v>1</v>
      </c>
      <c r="S38" s="80">
        <v>9</v>
      </c>
      <c r="T38" s="80">
        <v>145</v>
      </c>
      <c r="U38" s="80">
        <v>138</v>
      </c>
      <c r="V38" s="80">
        <v>726</v>
      </c>
      <c r="W38" s="80">
        <v>8</v>
      </c>
      <c r="X38" s="80">
        <v>41</v>
      </c>
      <c r="Y38" s="80">
        <v>2</v>
      </c>
      <c r="Z38" s="80">
        <v>18</v>
      </c>
      <c r="AA38" s="80">
        <v>4</v>
      </c>
      <c r="AB38" s="80">
        <v>39</v>
      </c>
      <c r="AC38" s="80">
        <v>45</v>
      </c>
      <c r="AD38" s="80">
        <v>270</v>
      </c>
      <c r="AE38" s="80">
        <v>59</v>
      </c>
      <c r="AF38" s="80">
        <v>251</v>
      </c>
      <c r="AG38" s="80">
        <v>19</v>
      </c>
      <c r="AH38" s="80">
        <v>154</v>
      </c>
      <c r="AI38" s="80">
        <v>37</v>
      </c>
      <c r="AJ38" s="80">
        <v>596</v>
      </c>
      <c r="AK38" s="80">
        <v>6</v>
      </c>
      <c r="AL38" s="80">
        <v>61</v>
      </c>
      <c r="AM38" s="80">
        <v>63</v>
      </c>
      <c r="AN38" s="80">
        <v>134</v>
      </c>
      <c r="AO38" s="80">
        <v>11</v>
      </c>
      <c r="AP38" s="80">
        <v>151</v>
      </c>
    </row>
    <row r="39" spans="1:42" ht="30" customHeight="1">
      <c r="A39" s="127"/>
      <c r="B39" s="125"/>
      <c r="C39" s="81"/>
      <c r="D39" s="81"/>
      <c r="E39" s="126"/>
      <c r="F39" s="126"/>
      <c r="G39" s="88"/>
      <c r="H39" s="88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</row>
    <row r="40" spans="1:42" ht="30" customHeight="1">
      <c r="A40" s="307" t="s">
        <v>85</v>
      </c>
      <c r="B40" s="277"/>
      <c r="C40" s="82">
        <f>E40+G40</f>
        <v>933</v>
      </c>
      <c r="D40" s="82">
        <f>F40+H40</f>
        <v>5782</v>
      </c>
      <c r="E40" s="82">
        <f>E41</f>
        <v>5</v>
      </c>
      <c r="F40" s="82">
        <f aca="true" t="shared" si="14" ref="F40:AP40">F41</f>
        <v>46</v>
      </c>
      <c r="G40" s="82">
        <f t="shared" si="14"/>
        <v>928</v>
      </c>
      <c r="H40" s="82">
        <f t="shared" si="14"/>
        <v>5736</v>
      </c>
      <c r="I40" s="82">
        <f t="shared" si="14"/>
        <v>1</v>
      </c>
      <c r="J40" s="82">
        <f t="shared" si="14"/>
        <v>7</v>
      </c>
      <c r="K40" s="82">
        <f t="shared" si="14"/>
        <v>109</v>
      </c>
      <c r="L40" s="82">
        <f t="shared" si="14"/>
        <v>400</v>
      </c>
      <c r="M40" s="82">
        <f t="shared" si="14"/>
        <v>220</v>
      </c>
      <c r="N40" s="82">
        <f t="shared" si="14"/>
        <v>1921</v>
      </c>
      <c r="O40" s="82">
        <f t="shared" si="14"/>
        <v>1</v>
      </c>
      <c r="P40" s="82">
        <f t="shared" si="14"/>
        <v>9</v>
      </c>
      <c r="Q40" s="82">
        <f t="shared" si="14"/>
        <v>3</v>
      </c>
      <c r="R40" s="82">
        <f t="shared" si="14"/>
        <v>10</v>
      </c>
      <c r="S40" s="82">
        <f t="shared" si="14"/>
        <v>24</v>
      </c>
      <c r="T40" s="82">
        <f t="shared" si="14"/>
        <v>284</v>
      </c>
      <c r="U40" s="82">
        <f t="shared" si="14"/>
        <v>215</v>
      </c>
      <c r="V40" s="82">
        <f t="shared" si="14"/>
        <v>1070</v>
      </c>
      <c r="W40" s="82">
        <f t="shared" si="14"/>
        <v>11</v>
      </c>
      <c r="X40" s="82">
        <f t="shared" si="14"/>
        <v>130</v>
      </c>
      <c r="Y40" s="82">
        <f t="shared" si="14"/>
        <v>9</v>
      </c>
      <c r="Z40" s="82">
        <f t="shared" si="14"/>
        <v>23</v>
      </c>
      <c r="AA40" s="82">
        <f t="shared" si="14"/>
        <v>14</v>
      </c>
      <c r="AB40" s="82">
        <f t="shared" si="14"/>
        <v>57</v>
      </c>
      <c r="AC40" s="82">
        <f t="shared" si="14"/>
        <v>69</v>
      </c>
      <c r="AD40" s="82">
        <f t="shared" si="14"/>
        <v>323</v>
      </c>
      <c r="AE40" s="82">
        <f t="shared" si="14"/>
        <v>80</v>
      </c>
      <c r="AF40" s="82">
        <f t="shared" si="14"/>
        <v>229</v>
      </c>
      <c r="AG40" s="82">
        <f t="shared" si="14"/>
        <v>29</v>
      </c>
      <c r="AH40" s="82">
        <f t="shared" si="14"/>
        <v>251</v>
      </c>
      <c r="AI40" s="82">
        <f t="shared" si="14"/>
        <v>57</v>
      </c>
      <c r="AJ40" s="82">
        <f t="shared" si="14"/>
        <v>630</v>
      </c>
      <c r="AK40" s="82">
        <f t="shared" si="14"/>
        <v>9</v>
      </c>
      <c r="AL40" s="82">
        <f t="shared" si="14"/>
        <v>82</v>
      </c>
      <c r="AM40" s="82">
        <f t="shared" si="14"/>
        <v>66</v>
      </c>
      <c r="AN40" s="82">
        <f t="shared" si="14"/>
        <v>155</v>
      </c>
      <c r="AO40" s="82">
        <f t="shared" si="14"/>
        <v>11</v>
      </c>
      <c r="AP40" s="82">
        <f t="shared" si="14"/>
        <v>155</v>
      </c>
    </row>
    <row r="41" spans="1:42" ht="30" customHeight="1">
      <c r="A41" s="124"/>
      <c r="B41" s="125" t="s">
        <v>9</v>
      </c>
      <c r="C41" s="81">
        <f>E41+G41</f>
        <v>933</v>
      </c>
      <c r="D41" s="81">
        <f>F41+H41</f>
        <v>5782</v>
      </c>
      <c r="E41" s="80">
        <v>5</v>
      </c>
      <c r="F41" s="80">
        <v>46</v>
      </c>
      <c r="G41" s="177">
        <f>I41+K41+M41+O41+Q41+S41+U41+W41+Y41+AA41+AC41+AE41+AG41+AI41+AK41+AM41+AO41</f>
        <v>928</v>
      </c>
      <c r="H41" s="177">
        <f>J41+L41+N41+P41+R41+T41+V41+X41+Z41+AB41+AD41+AF41+AH41+AJ41+AL41+AN41+AP41</f>
        <v>5736</v>
      </c>
      <c r="I41" s="80">
        <v>1</v>
      </c>
      <c r="J41" s="80">
        <v>7</v>
      </c>
      <c r="K41" s="80">
        <v>109</v>
      </c>
      <c r="L41" s="80">
        <v>400</v>
      </c>
      <c r="M41" s="80">
        <v>220</v>
      </c>
      <c r="N41" s="80">
        <v>1921</v>
      </c>
      <c r="O41" s="80">
        <v>1</v>
      </c>
      <c r="P41" s="80">
        <v>9</v>
      </c>
      <c r="Q41" s="80">
        <v>3</v>
      </c>
      <c r="R41" s="80">
        <v>10</v>
      </c>
      <c r="S41" s="80">
        <v>24</v>
      </c>
      <c r="T41" s="80">
        <v>284</v>
      </c>
      <c r="U41" s="80">
        <v>215</v>
      </c>
      <c r="V41" s="80">
        <v>1070</v>
      </c>
      <c r="W41" s="80">
        <v>11</v>
      </c>
      <c r="X41" s="80">
        <v>130</v>
      </c>
      <c r="Y41" s="80">
        <v>9</v>
      </c>
      <c r="Z41" s="80">
        <v>23</v>
      </c>
      <c r="AA41" s="80">
        <v>14</v>
      </c>
      <c r="AB41" s="80">
        <v>57</v>
      </c>
      <c r="AC41" s="80">
        <v>69</v>
      </c>
      <c r="AD41" s="80">
        <v>323</v>
      </c>
      <c r="AE41" s="80">
        <v>80</v>
      </c>
      <c r="AF41" s="80">
        <v>229</v>
      </c>
      <c r="AG41" s="80">
        <v>29</v>
      </c>
      <c r="AH41" s="80">
        <v>251</v>
      </c>
      <c r="AI41" s="80">
        <v>57</v>
      </c>
      <c r="AJ41" s="80">
        <v>630</v>
      </c>
      <c r="AK41" s="80">
        <v>9</v>
      </c>
      <c r="AL41" s="80">
        <v>82</v>
      </c>
      <c r="AM41" s="80">
        <v>66</v>
      </c>
      <c r="AN41" s="80">
        <v>155</v>
      </c>
      <c r="AO41" s="80">
        <v>11</v>
      </c>
      <c r="AP41" s="80">
        <v>155</v>
      </c>
    </row>
    <row r="42" spans="1:42" ht="30" customHeight="1">
      <c r="A42" s="124"/>
      <c r="B42" s="125"/>
      <c r="C42" s="81"/>
      <c r="D42" s="81"/>
      <c r="E42" s="126"/>
      <c r="F42" s="126"/>
      <c r="G42" s="88"/>
      <c r="H42" s="8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80"/>
      <c r="AH42" s="80"/>
      <c r="AI42" s="126"/>
      <c r="AJ42" s="126"/>
      <c r="AK42" s="80"/>
      <c r="AL42" s="80"/>
      <c r="AM42" s="126"/>
      <c r="AN42" s="126"/>
      <c r="AO42" s="126"/>
      <c r="AP42" s="126"/>
    </row>
    <row r="43" spans="1:232" ht="30" customHeight="1">
      <c r="A43" s="307" t="s">
        <v>10</v>
      </c>
      <c r="B43" s="277"/>
      <c r="C43" s="82">
        <f aca="true" t="shared" si="15" ref="C43:D45">E43+G43</f>
        <v>2052</v>
      </c>
      <c r="D43" s="82">
        <f t="shared" si="15"/>
        <v>12747</v>
      </c>
      <c r="E43" s="82">
        <f>E44+E45</f>
        <v>60</v>
      </c>
      <c r="F43" s="82">
        <f aca="true" t="shared" si="16" ref="F43:AP43">F44+F45</f>
        <v>938</v>
      </c>
      <c r="G43" s="82">
        <f t="shared" si="16"/>
        <v>1992</v>
      </c>
      <c r="H43" s="82">
        <f t="shared" si="16"/>
        <v>11809</v>
      </c>
      <c r="I43" s="82">
        <f>I45</f>
        <v>3</v>
      </c>
      <c r="J43" s="82">
        <f>J45</f>
        <v>18</v>
      </c>
      <c r="K43" s="82">
        <f t="shared" si="16"/>
        <v>250</v>
      </c>
      <c r="L43" s="82">
        <f t="shared" si="16"/>
        <v>1442</v>
      </c>
      <c r="M43" s="82">
        <f t="shared" si="16"/>
        <v>121</v>
      </c>
      <c r="N43" s="82">
        <f t="shared" si="16"/>
        <v>1370</v>
      </c>
      <c r="O43" s="82">
        <f t="shared" si="16"/>
        <v>5</v>
      </c>
      <c r="P43" s="82">
        <f t="shared" si="16"/>
        <v>31</v>
      </c>
      <c r="Q43" s="82">
        <f t="shared" si="16"/>
        <v>10</v>
      </c>
      <c r="R43" s="82">
        <f t="shared" si="16"/>
        <v>49</v>
      </c>
      <c r="S43" s="82">
        <f t="shared" si="16"/>
        <v>46</v>
      </c>
      <c r="T43" s="82">
        <f t="shared" si="16"/>
        <v>448</v>
      </c>
      <c r="U43" s="82">
        <f t="shared" si="16"/>
        <v>583</v>
      </c>
      <c r="V43" s="82">
        <f t="shared" si="16"/>
        <v>2446</v>
      </c>
      <c r="W43" s="82">
        <f t="shared" si="16"/>
        <v>27</v>
      </c>
      <c r="X43" s="82">
        <f t="shared" si="16"/>
        <v>302</v>
      </c>
      <c r="Y43" s="82">
        <f t="shared" si="16"/>
        <v>57</v>
      </c>
      <c r="Z43" s="82">
        <f t="shared" si="16"/>
        <v>110</v>
      </c>
      <c r="AA43" s="82">
        <f t="shared" si="16"/>
        <v>41</v>
      </c>
      <c r="AB43" s="82">
        <f t="shared" si="16"/>
        <v>241</v>
      </c>
      <c r="AC43" s="82">
        <f t="shared" si="16"/>
        <v>216</v>
      </c>
      <c r="AD43" s="82">
        <f t="shared" si="16"/>
        <v>868</v>
      </c>
      <c r="AE43" s="82">
        <f t="shared" si="16"/>
        <v>169</v>
      </c>
      <c r="AF43" s="82">
        <f t="shared" si="16"/>
        <v>432</v>
      </c>
      <c r="AG43" s="82">
        <f t="shared" si="16"/>
        <v>78</v>
      </c>
      <c r="AH43" s="82">
        <f t="shared" si="16"/>
        <v>553</v>
      </c>
      <c r="AI43" s="82">
        <f t="shared" si="16"/>
        <v>118</v>
      </c>
      <c r="AJ43" s="82">
        <f t="shared" si="16"/>
        <v>1842</v>
      </c>
      <c r="AK43" s="82">
        <f t="shared" si="16"/>
        <v>27</v>
      </c>
      <c r="AL43" s="82">
        <f t="shared" si="16"/>
        <v>308</v>
      </c>
      <c r="AM43" s="82">
        <f t="shared" si="16"/>
        <v>206</v>
      </c>
      <c r="AN43" s="82">
        <f t="shared" si="16"/>
        <v>845</v>
      </c>
      <c r="AO43" s="82">
        <f t="shared" si="16"/>
        <v>35</v>
      </c>
      <c r="AP43" s="82">
        <f t="shared" si="16"/>
        <v>504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</row>
    <row r="44" spans="1:42" ht="30" customHeight="1">
      <c r="A44" s="124"/>
      <c r="B44" s="125" t="s">
        <v>86</v>
      </c>
      <c r="C44" s="81">
        <f t="shared" si="15"/>
        <v>691</v>
      </c>
      <c r="D44" s="81">
        <f t="shared" si="15"/>
        <v>4568</v>
      </c>
      <c r="E44" s="80">
        <v>15</v>
      </c>
      <c r="F44" s="80">
        <v>289</v>
      </c>
      <c r="G44" s="177">
        <f>K44+M44+O44+Q44+S44+U44+W44+Y44+AA44+AC44+AE44+AG44+AI44+AK44+AM44+AO44</f>
        <v>676</v>
      </c>
      <c r="H44" s="177">
        <f>L44+N44+P44+R44+T44+V44+X44+Z44+AB44+AD44+AF44+AH44+AJ44+AL44+AN44+AP44</f>
        <v>4279</v>
      </c>
      <c r="I44" s="178" t="s">
        <v>15</v>
      </c>
      <c r="J44" s="178" t="s">
        <v>15</v>
      </c>
      <c r="K44" s="80">
        <v>68</v>
      </c>
      <c r="L44" s="80">
        <v>440</v>
      </c>
      <c r="M44" s="80">
        <v>32</v>
      </c>
      <c r="N44" s="80">
        <v>390</v>
      </c>
      <c r="O44" s="80">
        <v>1</v>
      </c>
      <c r="P44" s="80">
        <v>7</v>
      </c>
      <c r="Q44" s="80">
        <v>5</v>
      </c>
      <c r="R44" s="80">
        <v>19</v>
      </c>
      <c r="S44" s="80">
        <v>17</v>
      </c>
      <c r="T44" s="80">
        <v>216</v>
      </c>
      <c r="U44" s="80">
        <v>192</v>
      </c>
      <c r="V44" s="80">
        <v>914</v>
      </c>
      <c r="W44" s="80">
        <v>8</v>
      </c>
      <c r="X44" s="80">
        <v>58</v>
      </c>
      <c r="Y44" s="80">
        <v>27</v>
      </c>
      <c r="Z44" s="80">
        <v>58</v>
      </c>
      <c r="AA44" s="80">
        <v>15</v>
      </c>
      <c r="AB44" s="80">
        <v>74</v>
      </c>
      <c r="AC44" s="80">
        <v>83</v>
      </c>
      <c r="AD44" s="80">
        <v>314</v>
      </c>
      <c r="AE44" s="80">
        <v>54</v>
      </c>
      <c r="AF44" s="80">
        <v>159</v>
      </c>
      <c r="AG44" s="80">
        <v>24</v>
      </c>
      <c r="AH44" s="80">
        <v>171</v>
      </c>
      <c r="AI44" s="80">
        <v>42</v>
      </c>
      <c r="AJ44" s="80">
        <v>722</v>
      </c>
      <c r="AK44" s="80">
        <v>12</v>
      </c>
      <c r="AL44" s="80">
        <v>175</v>
      </c>
      <c r="AM44" s="80">
        <v>85</v>
      </c>
      <c r="AN44" s="80">
        <v>411</v>
      </c>
      <c r="AO44" s="80">
        <v>11</v>
      </c>
      <c r="AP44" s="80">
        <v>151</v>
      </c>
    </row>
    <row r="45" spans="1:42" ht="30" customHeight="1">
      <c r="A45" s="124"/>
      <c r="B45" s="125" t="s">
        <v>204</v>
      </c>
      <c r="C45" s="81">
        <f t="shared" si="15"/>
        <v>1361</v>
      </c>
      <c r="D45" s="81">
        <f t="shared" si="15"/>
        <v>8179</v>
      </c>
      <c r="E45" s="80">
        <v>45</v>
      </c>
      <c r="F45" s="80">
        <v>649</v>
      </c>
      <c r="G45" s="177">
        <f>I45+K45+M45+O45+Q45+S45+U45+W45+Y45+AA45+AC45+AE45+AG45+AI45+AK45+AM45+AO45</f>
        <v>1316</v>
      </c>
      <c r="H45" s="177">
        <f>J45+L45+N45+P45+R45+T45+V45+X45+Z45+AB45+AD45+AF45+AH45+AJ45+AL45+AN45+AP45</f>
        <v>7530</v>
      </c>
      <c r="I45" s="80">
        <v>3</v>
      </c>
      <c r="J45" s="80">
        <v>18</v>
      </c>
      <c r="K45" s="80">
        <v>182</v>
      </c>
      <c r="L45" s="80">
        <v>1002</v>
      </c>
      <c r="M45" s="80">
        <v>89</v>
      </c>
      <c r="N45" s="80">
        <v>980</v>
      </c>
      <c r="O45" s="80">
        <v>4</v>
      </c>
      <c r="P45" s="80">
        <v>24</v>
      </c>
      <c r="Q45" s="80">
        <v>5</v>
      </c>
      <c r="R45" s="80">
        <v>30</v>
      </c>
      <c r="S45" s="80">
        <v>29</v>
      </c>
      <c r="T45" s="80">
        <v>232</v>
      </c>
      <c r="U45" s="80">
        <v>391</v>
      </c>
      <c r="V45" s="80">
        <v>1532</v>
      </c>
      <c r="W45" s="80">
        <v>19</v>
      </c>
      <c r="X45" s="80">
        <v>244</v>
      </c>
      <c r="Y45" s="80">
        <v>30</v>
      </c>
      <c r="Z45" s="80">
        <v>52</v>
      </c>
      <c r="AA45" s="80">
        <v>26</v>
      </c>
      <c r="AB45" s="80">
        <v>167</v>
      </c>
      <c r="AC45" s="80">
        <v>133</v>
      </c>
      <c r="AD45" s="80">
        <v>554</v>
      </c>
      <c r="AE45" s="80">
        <v>115</v>
      </c>
      <c r="AF45" s="80">
        <v>273</v>
      </c>
      <c r="AG45" s="80">
        <v>54</v>
      </c>
      <c r="AH45" s="80">
        <v>382</v>
      </c>
      <c r="AI45" s="80">
        <v>76</v>
      </c>
      <c r="AJ45" s="80">
        <v>1120</v>
      </c>
      <c r="AK45" s="80">
        <v>15</v>
      </c>
      <c r="AL45" s="80">
        <v>133</v>
      </c>
      <c r="AM45" s="80">
        <v>121</v>
      </c>
      <c r="AN45" s="80">
        <v>434</v>
      </c>
      <c r="AO45" s="80">
        <v>24</v>
      </c>
      <c r="AP45" s="80">
        <v>353</v>
      </c>
    </row>
    <row r="46" spans="1:42" ht="30" customHeight="1">
      <c r="A46" s="145"/>
      <c r="B46" s="146"/>
      <c r="C46" s="147"/>
      <c r="D46" s="88"/>
      <c r="E46" s="126"/>
      <c r="F46" s="126"/>
      <c r="G46" s="88"/>
      <c r="H46" s="88"/>
      <c r="I46" s="126"/>
      <c r="J46" s="126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8"/>
      <c r="AH46" s="148"/>
      <c r="AI46" s="126"/>
      <c r="AJ46" s="126"/>
      <c r="AK46" s="148"/>
      <c r="AL46" s="148"/>
      <c r="AM46" s="126"/>
      <c r="AN46" s="126"/>
      <c r="AO46" s="126"/>
      <c r="AP46" s="126"/>
    </row>
    <row r="47" spans="1:42" ht="15" customHeight="1">
      <c r="A47" s="182" t="s">
        <v>148</v>
      </c>
      <c r="D47" s="149"/>
      <c r="E47" s="149"/>
      <c r="F47" s="149"/>
      <c r="G47" s="149"/>
      <c r="H47" s="149"/>
      <c r="I47" s="149"/>
      <c r="J47" s="149"/>
      <c r="AI47" s="149"/>
      <c r="AJ47" s="149"/>
      <c r="AM47" s="149"/>
      <c r="AN47" s="149"/>
      <c r="AO47" s="149"/>
      <c r="AP47" s="149"/>
    </row>
    <row r="48" spans="1:42" ht="15" customHeight="1">
      <c r="A48" s="182" t="s">
        <v>239</v>
      </c>
      <c r="AM48" s="15"/>
      <c r="AN48" s="15"/>
      <c r="AO48" s="15"/>
      <c r="AP48" s="15"/>
    </row>
  </sheetData>
  <sheetProtection/>
  <mergeCells count="83">
    <mergeCell ref="AP7:AP8"/>
    <mergeCell ref="AO5:AP6"/>
    <mergeCell ref="AG7:AG8"/>
    <mergeCell ref="AH7:AH8"/>
    <mergeCell ref="AI7:AI8"/>
    <mergeCell ref="AJ7:AJ8"/>
    <mergeCell ref="AG5:AH6"/>
    <mergeCell ref="AI5:AJ6"/>
    <mergeCell ref="AK5:AL6"/>
    <mergeCell ref="AM5:AN6"/>
    <mergeCell ref="H7:H8"/>
    <mergeCell ref="Y7:Y8"/>
    <mergeCell ref="L7:L8"/>
    <mergeCell ref="M7:M8"/>
    <mergeCell ref="N7:N8"/>
    <mergeCell ref="AO7:AO8"/>
    <mergeCell ref="AK7:AK8"/>
    <mergeCell ref="AL7:AL8"/>
    <mergeCell ref="AM7:AM8"/>
    <mergeCell ref="AN7:AN8"/>
    <mergeCell ref="A16:B16"/>
    <mergeCell ref="A29:B29"/>
    <mergeCell ref="D7:D8"/>
    <mergeCell ref="E7:E8"/>
    <mergeCell ref="A43:B43"/>
    <mergeCell ref="A36:B36"/>
    <mergeCell ref="A40:B40"/>
    <mergeCell ref="A22:B22"/>
    <mergeCell ref="A32:B32"/>
    <mergeCell ref="Z7:Z8"/>
    <mergeCell ref="A26:B26"/>
    <mergeCell ref="A17:B17"/>
    <mergeCell ref="A18:B18"/>
    <mergeCell ref="A19:B19"/>
    <mergeCell ref="K7:K8"/>
    <mergeCell ref="I7:I8"/>
    <mergeCell ref="J7:J8"/>
    <mergeCell ref="C7:C8"/>
    <mergeCell ref="A24:B24"/>
    <mergeCell ref="A21:B21"/>
    <mergeCell ref="A23:B23"/>
    <mergeCell ref="G5:H6"/>
    <mergeCell ref="A10:B10"/>
    <mergeCell ref="A15:B15"/>
    <mergeCell ref="F7:F8"/>
    <mergeCell ref="A11:B11"/>
    <mergeCell ref="A14:B14"/>
    <mergeCell ref="G7:G8"/>
    <mergeCell ref="V7:V8"/>
    <mergeCell ref="X7:X8"/>
    <mergeCell ref="W5:X6"/>
    <mergeCell ref="A20:B20"/>
    <mergeCell ref="W7:W8"/>
    <mergeCell ref="U5:V6"/>
    <mergeCell ref="A12:B12"/>
    <mergeCell ref="A5:B8"/>
    <mergeCell ref="C5:D6"/>
    <mergeCell ref="E5:F6"/>
    <mergeCell ref="S5:T6"/>
    <mergeCell ref="I5:J6"/>
    <mergeCell ref="K5:L6"/>
    <mergeCell ref="M5:N6"/>
    <mergeCell ref="O5:P6"/>
    <mergeCell ref="Q5:R6"/>
    <mergeCell ref="AE5:AF6"/>
    <mergeCell ref="AA7:AA8"/>
    <mergeCell ref="AB7:AB8"/>
    <mergeCell ref="AE7:AE8"/>
    <mergeCell ref="AF7:AF8"/>
    <mergeCell ref="AC5:AD6"/>
    <mergeCell ref="AA5:AB6"/>
    <mergeCell ref="AC7:AC8"/>
    <mergeCell ref="AD7:AD8"/>
    <mergeCell ref="A2:AP2"/>
    <mergeCell ref="A3:AP3"/>
    <mergeCell ref="P7:P8"/>
    <mergeCell ref="Q7:Q8"/>
    <mergeCell ref="R7:R8"/>
    <mergeCell ref="O7:O8"/>
    <mergeCell ref="Y5:Z6"/>
    <mergeCell ref="S7:S8"/>
    <mergeCell ref="T7:T8"/>
    <mergeCell ref="U7:U8"/>
  </mergeCells>
  <printOptions/>
  <pageMargins left="1.0236220472440944" right="0.11811023622047245" top="0.7086614173228347" bottom="0.11811023622047245" header="0.5118110236220472" footer="0.5118110236220472"/>
  <pageSetup fitToHeight="1" fitToWidth="1" horizontalDpi="300" verticalDpi="300" orientation="landscape" paperSize="8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4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.69921875" style="7" customWidth="1"/>
    <col min="2" max="14" width="9.69921875" style="7" customWidth="1"/>
    <col min="15" max="16" width="9.796875" style="7" customWidth="1"/>
    <col min="17" max="36" width="9.69921875" style="7" customWidth="1"/>
    <col min="37" max="16384" width="10.69921875" style="7" customWidth="1"/>
  </cols>
  <sheetData>
    <row r="1" spans="1:40" s="2" customFormat="1" ht="19.5" customHeight="1">
      <c r="A1" s="117" t="s">
        <v>11</v>
      </c>
      <c r="Z1" s="73"/>
      <c r="AJ1" s="73"/>
      <c r="AN1" s="73" t="s">
        <v>12</v>
      </c>
    </row>
    <row r="2" spans="1:40" ht="19.5" customHeight="1">
      <c r="A2" s="286" t="s">
        <v>13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</row>
    <row r="3" spans="1:40" ht="19.5" customHeight="1">
      <c r="A3" s="287" t="s">
        <v>96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</row>
    <row r="4" spans="1:40" ht="18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34"/>
      <c r="AJ4" s="135"/>
      <c r="AN4" s="135" t="s">
        <v>248</v>
      </c>
    </row>
    <row r="5" spans="1:42" ht="15.75" customHeight="1">
      <c r="A5" s="312" t="s">
        <v>178</v>
      </c>
      <c r="B5" s="313"/>
      <c r="C5" s="305" t="s">
        <v>227</v>
      </c>
      <c r="D5" s="302"/>
      <c r="E5" s="305" t="s">
        <v>228</v>
      </c>
      <c r="F5" s="302"/>
      <c r="G5" s="305" t="s">
        <v>229</v>
      </c>
      <c r="H5" s="302"/>
      <c r="I5" s="290" t="s">
        <v>225</v>
      </c>
      <c r="J5" s="291"/>
      <c r="K5" s="305" t="s">
        <v>230</v>
      </c>
      <c r="L5" s="302"/>
      <c r="M5" s="305" t="s">
        <v>231</v>
      </c>
      <c r="N5" s="302"/>
      <c r="O5" s="306" t="s">
        <v>22</v>
      </c>
      <c r="P5" s="291"/>
      <c r="Q5" s="305" t="s">
        <v>179</v>
      </c>
      <c r="R5" s="302"/>
      <c r="S5" s="301" t="s">
        <v>211</v>
      </c>
      <c r="T5" s="302"/>
      <c r="U5" s="305" t="s">
        <v>212</v>
      </c>
      <c r="V5" s="302"/>
      <c r="W5" s="305" t="s">
        <v>213</v>
      </c>
      <c r="X5" s="302"/>
      <c r="Y5" s="290" t="s">
        <v>29</v>
      </c>
      <c r="Z5" s="291"/>
      <c r="AA5" s="290" t="s">
        <v>226</v>
      </c>
      <c r="AB5" s="291"/>
      <c r="AC5" s="290" t="s">
        <v>143</v>
      </c>
      <c r="AD5" s="297"/>
      <c r="AE5" s="294" t="s">
        <v>144</v>
      </c>
      <c r="AF5" s="291"/>
      <c r="AG5" s="306" t="s">
        <v>214</v>
      </c>
      <c r="AH5" s="320"/>
      <c r="AI5" s="290" t="s">
        <v>90</v>
      </c>
      <c r="AJ5" s="320"/>
      <c r="AK5" s="306" t="s">
        <v>180</v>
      </c>
      <c r="AL5" s="319"/>
      <c r="AM5" s="306" t="s">
        <v>196</v>
      </c>
      <c r="AN5" s="319"/>
      <c r="AO5" s="179"/>
      <c r="AP5" s="180"/>
    </row>
    <row r="6" spans="1:42" ht="15.75" customHeight="1">
      <c r="A6" s="314"/>
      <c r="B6" s="315"/>
      <c r="C6" s="303"/>
      <c r="D6" s="304"/>
      <c r="E6" s="303"/>
      <c r="F6" s="304"/>
      <c r="G6" s="303"/>
      <c r="H6" s="304"/>
      <c r="I6" s="292"/>
      <c r="J6" s="293"/>
      <c r="K6" s="303"/>
      <c r="L6" s="304"/>
      <c r="M6" s="303"/>
      <c r="N6" s="304"/>
      <c r="O6" s="292"/>
      <c r="P6" s="293"/>
      <c r="Q6" s="303"/>
      <c r="R6" s="304"/>
      <c r="S6" s="303"/>
      <c r="T6" s="304"/>
      <c r="U6" s="303"/>
      <c r="V6" s="304"/>
      <c r="W6" s="303"/>
      <c r="X6" s="304"/>
      <c r="Y6" s="292"/>
      <c r="Z6" s="293"/>
      <c r="AA6" s="299"/>
      <c r="AB6" s="296"/>
      <c r="AC6" s="292"/>
      <c r="AD6" s="298"/>
      <c r="AE6" s="295"/>
      <c r="AF6" s="296"/>
      <c r="AG6" s="292"/>
      <c r="AH6" s="293"/>
      <c r="AI6" s="292"/>
      <c r="AJ6" s="293"/>
      <c r="AK6" s="292"/>
      <c r="AL6" s="298"/>
      <c r="AM6" s="292"/>
      <c r="AN6" s="298"/>
      <c r="AO6" s="180"/>
      <c r="AP6" s="180"/>
    </row>
    <row r="7" spans="1:42" ht="15.75" customHeight="1">
      <c r="A7" s="316"/>
      <c r="B7" s="315"/>
      <c r="C7" s="288" t="s">
        <v>8</v>
      </c>
      <c r="D7" s="288" t="s">
        <v>53</v>
      </c>
      <c r="E7" s="288" t="s">
        <v>8</v>
      </c>
      <c r="F7" s="288" t="s">
        <v>53</v>
      </c>
      <c r="G7" s="288" t="s">
        <v>8</v>
      </c>
      <c r="H7" s="288" t="s">
        <v>53</v>
      </c>
      <c r="I7" s="288" t="s">
        <v>8</v>
      </c>
      <c r="J7" s="288" t="s">
        <v>53</v>
      </c>
      <c r="K7" s="288" t="s">
        <v>8</v>
      </c>
      <c r="L7" s="288" t="s">
        <v>53</v>
      </c>
      <c r="M7" s="288" t="s">
        <v>8</v>
      </c>
      <c r="N7" s="288" t="s">
        <v>53</v>
      </c>
      <c r="O7" s="288" t="s">
        <v>8</v>
      </c>
      <c r="P7" s="288" t="s">
        <v>53</v>
      </c>
      <c r="Q7" s="288" t="s">
        <v>8</v>
      </c>
      <c r="R7" s="288" t="s">
        <v>53</v>
      </c>
      <c r="S7" s="288" t="s">
        <v>8</v>
      </c>
      <c r="T7" s="288" t="s">
        <v>53</v>
      </c>
      <c r="U7" s="288" t="s">
        <v>8</v>
      </c>
      <c r="V7" s="288" t="s">
        <v>53</v>
      </c>
      <c r="W7" s="288" t="s">
        <v>8</v>
      </c>
      <c r="X7" s="288" t="s">
        <v>53</v>
      </c>
      <c r="Y7" s="288" t="s">
        <v>8</v>
      </c>
      <c r="Z7" s="288" t="s">
        <v>53</v>
      </c>
      <c r="AA7" s="288" t="s">
        <v>8</v>
      </c>
      <c r="AB7" s="288" t="s">
        <v>53</v>
      </c>
      <c r="AC7" s="288" t="s">
        <v>8</v>
      </c>
      <c r="AD7" s="300" t="s">
        <v>53</v>
      </c>
      <c r="AE7" s="288" t="s">
        <v>8</v>
      </c>
      <c r="AF7" s="288" t="s">
        <v>53</v>
      </c>
      <c r="AG7" s="288" t="s">
        <v>8</v>
      </c>
      <c r="AH7" s="288" t="s">
        <v>53</v>
      </c>
      <c r="AI7" s="288" t="s">
        <v>8</v>
      </c>
      <c r="AJ7" s="288" t="s">
        <v>53</v>
      </c>
      <c r="AK7" s="288" t="s">
        <v>8</v>
      </c>
      <c r="AL7" s="288" t="s">
        <v>53</v>
      </c>
      <c r="AM7" s="288" t="s">
        <v>8</v>
      </c>
      <c r="AN7" s="300" t="s">
        <v>53</v>
      </c>
      <c r="AO7" s="179"/>
      <c r="AP7" s="179"/>
    </row>
    <row r="8" spans="1:42" ht="15.75" customHeight="1">
      <c r="A8" s="317"/>
      <c r="B8" s="31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2"/>
      <c r="AE8" s="289"/>
      <c r="AF8" s="289"/>
      <c r="AG8" s="289"/>
      <c r="AH8" s="289"/>
      <c r="AI8" s="289"/>
      <c r="AJ8" s="289"/>
      <c r="AK8" s="289"/>
      <c r="AL8" s="289"/>
      <c r="AM8" s="289"/>
      <c r="AN8" s="292"/>
      <c r="AO8" s="180"/>
      <c r="AP8" s="180"/>
    </row>
    <row r="9" spans="1:42" ht="30" customHeight="1">
      <c r="A9" s="121"/>
      <c r="B9" s="142"/>
      <c r="C9" s="121"/>
      <c r="D9" s="122"/>
      <c r="E9" s="121"/>
      <c r="F9" s="122"/>
      <c r="G9" s="121"/>
      <c r="H9" s="122"/>
      <c r="I9" s="121"/>
      <c r="J9" s="122"/>
      <c r="K9" s="121"/>
      <c r="L9" s="122"/>
      <c r="M9" s="121"/>
      <c r="N9" s="122"/>
      <c r="O9" s="121"/>
      <c r="P9" s="122"/>
      <c r="Q9" s="121"/>
      <c r="R9" s="122"/>
      <c r="S9" s="121"/>
      <c r="T9" s="122"/>
      <c r="U9" s="121"/>
      <c r="V9" s="122"/>
      <c r="W9" s="121"/>
      <c r="X9" s="122"/>
      <c r="Y9" s="121"/>
      <c r="Z9" s="122"/>
      <c r="AA9" s="122"/>
      <c r="AB9" s="122"/>
      <c r="AC9" s="121"/>
      <c r="AD9" s="122"/>
      <c r="AE9" s="122"/>
      <c r="AF9" s="122"/>
      <c r="AG9" s="137"/>
      <c r="AH9" s="122"/>
      <c r="AI9" s="137"/>
      <c r="AJ9" s="122"/>
      <c r="AK9" s="137"/>
      <c r="AL9" s="122"/>
      <c r="AM9" s="137"/>
      <c r="AN9" s="122"/>
      <c r="AO9" s="137"/>
      <c r="AP9" s="122"/>
    </row>
    <row r="10" spans="1:42" ht="30" customHeight="1">
      <c r="A10" s="308" t="s">
        <v>145</v>
      </c>
      <c r="B10" s="234"/>
      <c r="C10" s="88">
        <f>E10+G10</f>
        <v>64663</v>
      </c>
      <c r="D10" s="88">
        <f>F10+H10</f>
        <v>531416</v>
      </c>
      <c r="E10" s="88">
        <f>192+52</f>
        <v>244</v>
      </c>
      <c r="F10" s="88">
        <f>1630+968</f>
        <v>2598</v>
      </c>
      <c r="G10" s="177">
        <f>I10+K10+M10+O10+Q10+S10+U10+W10+Y10+AA10+AC10+AE10+AG10+AI10+AK10+AM10+AO10</f>
        <v>64419</v>
      </c>
      <c r="H10" s="177">
        <f>J10+L10+N10+P10+R10+T10+V10+X10+Z10+AB10+AD10+AF10+AH10+AJ10+AL10+AN10+AP10</f>
        <v>528818</v>
      </c>
      <c r="I10" s="88">
        <v>43</v>
      </c>
      <c r="J10" s="88">
        <v>355</v>
      </c>
      <c r="K10" s="88">
        <v>7357</v>
      </c>
      <c r="L10" s="88">
        <v>48955</v>
      </c>
      <c r="M10" s="88">
        <v>8572</v>
      </c>
      <c r="N10" s="88">
        <v>109732</v>
      </c>
      <c r="O10" s="88">
        <v>23</v>
      </c>
      <c r="P10" s="88">
        <v>1502</v>
      </c>
      <c r="Q10" s="88">
        <v>585</v>
      </c>
      <c r="R10" s="88">
        <v>11395</v>
      </c>
      <c r="S10" s="88">
        <v>1331</v>
      </c>
      <c r="T10" s="88">
        <v>25416</v>
      </c>
      <c r="U10" s="88">
        <v>17529</v>
      </c>
      <c r="V10" s="88">
        <v>118697</v>
      </c>
      <c r="W10" s="88">
        <v>1028</v>
      </c>
      <c r="X10" s="88">
        <v>13084</v>
      </c>
      <c r="Y10" s="88">
        <v>2814</v>
      </c>
      <c r="Z10" s="88">
        <v>9600</v>
      </c>
      <c r="AA10" s="88">
        <v>2087</v>
      </c>
      <c r="AB10" s="88">
        <v>11467</v>
      </c>
      <c r="AC10" s="88">
        <v>7892</v>
      </c>
      <c r="AD10" s="88">
        <v>50387</v>
      </c>
      <c r="AE10" s="88">
        <v>5403</v>
      </c>
      <c r="AF10" s="88">
        <v>23120</v>
      </c>
      <c r="AG10" s="80">
        <v>1916</v>
      </c>
      <c r="AH10" s="80">
        <v>13810</v>
      </c>
      <c r="AI10" s="80">
        <v>2853</v>
      </c>
      <c r="AJ10" s="80">
        <v>45620</v>
      </c>
      <c r="AK10" s="80">
        <v>737</v>
      </c>
      <c r="AL10" s="80">
        <v>8382</v>
      </c>
      <c r="AM10" s="80">
        <v>4249</v>
      </c>
      <c r="AN10" s="80">
        <v>37296</v>
      </c>
      <c r="AO10" s="80"/>
      <c r="AP10" s="80"/>
    </row>
    <row r="11" spans="1:42" s="66" customFormat="1" ht="30" customHeight="1">
      <c r="A11" s="309" t="s">
        <v>146</v>
      </c>
      <c r="B11" s="310"/>
      <c r="C11" s="82">
        <f>C14</f>
        <v>66090</v>
      </c>
      <c r="D11" s="82">
        <f aca="true" t="shared" si="0" ref="D11:AN11">D14</f>
        <v>564044</v>
      </c>
      <c r="E11" s="82">
        <f t="shared" si="0"/>
        <v>402</v>
      </c>
      <c r="F11" s="82">
        <f t="shared" si="0"/>
        <v>4555</v>
      </c>
      <c r="G11" s="82">
        <f t="shared" si="0"/>
        <v>65688</v>
      </c>
      <c r="H11" s="82">
        <f t="shared" si="0"/>
        <v>559489</v>
      </c>
      <c r="I11" s="82">
        <f t="shared" si="0"/>
        <v>40</v>
      </c>
      <c r="J11" s="82">
        <f t="shared" si="0"/>
        <v>295</v>
      </c>
      <c r="K11" s="82">
        <f t="shared" si="0"/>
        <v>7500</v>
      </c>
      <c r="L11" s="82">
        <f t="shared" si="0"/>
        <v>47965</v>
      </c>
      <c r="M11" s="82">
        <f t="shared" si="0"/>
        <v>8048</v>
      </c>
      <c r="N11" s="82">
        <f t="shared" si="0"/>
        <v>109007</v>
      </c>
      <c r="O11" s="82">
        <f t="shared" si="0"/>
        <v>35</v>
      </c>
      <c r="P11" s="82">
        <f t="shared" si="0"/>
        <v>1702</v>
      </c>
      <c r="Q11" s="82">
        <f t="shared" si="0"/>
        <v>699</v>
      </c>
      <c r="R11" s="82">
        <f t="shared" si="0"/>
        <v>11732</v>
      </c>
      <c r="S11" s="82">
        <f t="shared" si="0"/>
        <v>1522</v>
      </c>
      <c r="T11" s="82">
        <f t="shared" si="0"/>
        <v>29566</v>
      </c>
      <c r="U11" s="82">
        <f t="shared" si="0"/>
        <v>17370</v>
      </c>
      <c r="V11" s="82">
        <f t="shared" si="0"/>
        <v>124285</v>
      </c>
      <c r="W11" s="82">
        <f t="shared" si="0"/>
        <v>1102</v>
      </c>
      <c r="X11" s="82">
        <f t="shared" si="0"/>
        <v>14750</v>
      </c>
      <c r="Y11" s="82">
        <f t="shared" si="0"/>
        <v>3351</v>
      </c>
      <c r="Z11" s="82">
        <f t="shared" si="0"/>
        <v>10787</v>
      </c>
      <c r="AA11" s="82">
        <f t="shared" si="0"/>
        <v>2369</v>
      </c>
      <c r="AB11" s="82">
        <f t="shared" si="0"/>
        <v>12732</v>
      </c>
      <c r="AC11" s="82">
        <f t="shared" si="0"/>
        <v>7764</v>
      </c>
      <c r="AD11" s="82">
        <f t="shared" si="0"/>
        <v>56200</v>
      </c>
      <c r="AE11" s="82">
        <f t="shared" si="0"/>
        <v>5381</v>
      </c>
      <c r="AF11" s="82">
        <f t="shared" si="0"/>
        <v>24284</v>
      </c>
      <c r="AG11" s="82">
        <f t="shared" si="0"/>
        <v>1973</v>
      </c>
      <c r="AH11" s="82">
        <f t="shared" si="0"/>
        <v>16038</v>
      </c>
      <c r="AI11" s="82">
        <f t="shared" si="0"/>
        <v>3210</v>
      </c>
      <c r="AJ11" s="82">
        <f t="shared" si="0"/>
        <v>53574</v>
      </c>
      <c r="AK11" s="82">
        <f t="shared" si="0"/>
        <v>510</v>
      </c>
      <c r="AL11" s="82">
        <f t="shared" si="0"/>
        <v>5465</v>
      </c>
      <c r="AM11" s="82">
        <f t="shared" si="0"/>
        <v>4814</v>
      </c>
      <c r="AN11" s="82">
        <f t="shared" si="0"/>
        <v>41107</v>
      </c>
      <c r="AO11" s="123"/>
      <c r="AP11" s="123"/>
    </row>
    <row r="12" spans="1:42" ht="30" customHeight="1">
      <c r="A12" s="311" t="s">
        <v>200</v>
      </c>
      <c r="B12" s="234"/>
      <c r="C12" s="143">
        <f>(C11-C10)/C10*100</f>
        <v>2.2068261602461994</v>
      </c>
      <c r="D12" s="143">
        <f aca="true" t="shared" si="1" ref="D12:AN12">(D11-D10)/D10*100</f>
        <v>6.139822662471586</v>
      </c>
      <c r="E12" s="143">
        <f t="shared" si="1"/>
        <v>64.75409836065575</v>
      </c>
      <c r="F12" s="143">
        <f t="shared" si="1"/>
        <v>75.32717474980754</v>
      </c>
      <c r="G12" s="143">
        <f t="shared" si="1"/>
        <v>1.9699157080985426</v>
      </c>
      <c r="H12" s="143">
        <f t="shared" si="1"/>
        <v>5.799916039166594</v>
      </c>
      <c r="I12" s="143">
        <f t="shared" si="1"/>
        <v>-6.976744186046512</v>
      </c>
      <c r="J12" s="143">
        <f t="shared" si="1"/>
        <v>-16.901408450704224</v>
      </c>
      <c r="K12" s="143">
        <f t="shared" si="1"/>
        <v>1.9437270626614107</v>
      </c>
      <c r="L12" s="143">
        <f t="shared" si="1"/>
        <v>-2.0222653457256663</v>
      </c>
      <c r="M12" s="143">
        <f t="shared" si="1"/>
        <v>-6.112925804946337</v>
      </c>
      <c r="N12" s="143">
        <f t="shared" si="1"/>
        <v>-0.6607006160463674</v>
      </c>
      <c r="O12" s="143">
        <f t="shared" si="1"/>
        <v>52.17391304347826</v>
      </c>
      <c r="P12" s="143">
        <f t="shared" si="1"/>
        <v>13.315579227696405</v>
      </c>
      <c r="Q12" s="143">
        <f t="shared" si="1"/>
        <v>19.48717948717949</v>
      </c>
      <c r="R12" s="143">
        <f t="shared" si="1"/>
        <v>2.957437472575691</v>
      </c>
      <c r="S12" s="143">
        <f t="shared" si="1"/>
        <v>14.350112697220135</v>
      </c>
      <c r="T12" s="143">
        <f t="shared" si="1"/>
        <v>16.328297135662577</v>
      </c>
      <c r="U12" s="143">
        <f t="shared" si="1"/>
        <v>-0.9070682868389526</v>
      </c>
      <c r="V12" s="143">
        <f t="shared" si="1"/>
        <v>4.707785369470163</v>
      </c>
      <c r="W12" s="143">
        <f t="shared" si="1"/>
        <v>7.198443579766536</v>
      </c>
      <c r="X12" s="143">
        <f t="shared" si="1"/>
        <v>12.733109140935495</v>
      </c>
      <c r="Y12" s="143">
        <f t="shared" si="1"/>
        <v>19.08315565031983</v>
      </c>
      <c r="Z12" s="143">
        <f t="shared" si="1"/>
        <v>12.364583333333332</v>
      </c>
      <c r="AA12" s="143">
        <f t="shared" si="1"/>
        <v>13.51221849544801</v>
      </c>
      <c r="AB12" s="143">
        <f t="shared" si="1"/>
        <v>11.031656056509984</v>
      </c>
      <c r="AC12" s="143">
        <f t="shared" si="1"/>
        <v>-1.6218955904713634</v>
      </c>
      <c r="AD12" s="143">
        <f t="shared" si="1"/>
        <v>11.536705896362157</v>
      </c>
      <c r="AE12" s="143">
        <f t="shared" si="1"/>
        <v>-0.40718119563205624</v>
      </c>
      <c r="AF12" s="143">
        <f t="shared" si="1"/>
        <v>5.034602076124568</v>
      </c>
      <c r="AG12" s="143">
        <f t="shared" si="1"/>
        <v>2.9749478079331944</v>
      </c>
      <c r="AH12" s="143">
        <f t="shared" si="1"/>
        <v>16.13323678493845</v>
      </c>
      <c r="AI12" s="143">
        <f t="shared" si="1"/>
        <v>12.513144058885384</v>
      </c>
      <c r="AJ12" s="143">
        <f t="shared" si="1"/>
        <v>17.43533537921964</v>
      </c>
      <c r="AK12" s="143">
        <f t="shared" si="1"/>
        <v>-30.800542740841248</v>
      </c>
      <c r="AL12" s="143">
        <f t="shared" si="1"/>
        <v>-34.80076354092102</v>
      </c>
      <c r="AM12" s="143">
        <f t="shared" si="1"/>
        <v>13.297246410920216</v>
      </c>
      <c r="AN12" s="143">
        <f t="shared" si="1"/>
        <v>10.218253968253968</v>
      </c>
      <c r="AO12" s="138"/>
      <c r="AP12" s="138"/>
    </row>
    <row r="13" spans="1:42" ht="30" customHeight="1">
      <c r="A13" s="127"/>
      <c r="B13" s="136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</row>
    <row r="14" spans="1:42" s="66" customFormat="1" ht="30" customHeight="1">
      <c r="A14" s="307" t="s">
        <v>37</v>
      </c>
      <c r="B14" s="277"/>
      <c r="C14" s="82">
        <f>E14+G14</f>
        <v>66090</v>
      </c>
      <c r="D14" s="82">
        <f>F14+H14</f>
        <v>564044</v>
      </c>
      <c r="E14" s="82">
        <f>E15+E16+E17+E18+E19+E20+E21+E22+E23+E24+E26+E29+E32+E36+E40+E43</f>
        <v>402</v>
      </c>
      <c r="F14" s="82">
        <f aca="true" t="shared" si="2" ref="F14:AN14">F15+F16+F17+F18+F19+F20+F21+F22+F23+F24+F26+F29+F32+F36+F40+F43</f>
        <v>4555</v>
      </c>
      <c r="G14" s="82">
        <f t="shared" si="2"/>
        <v>65688</v>
      </c>
      <c r="H14" s="82">
        <f t="shared" si="2"/>
        <v>559489</v>
      </c>
      <c r="I14" s="82">
        <f>I15+I16+I17+I18+I19+I20+I22+I23+I24+I26+I36+I40+I43</f>
        <v>40</v>
      </c>
      <c r="J14" s="82">
        <f>J15+J16+J17+J18+J19+J20+J22+J23+J24+J26+J36+J40+J43</f>
        <v>295</v>
      </c>
      <c r="K14" s="82">
        <f t="shared" si="2"/>
        <v>7500</v>
      </c>
      <c r="L14" s="82">
        <f t="shared" si="2"/>
        <v>47965</v>
      </c>
      <c r="M14" s="82">
        <f t="shared" si="2"/>
        <v>8048</v>
      </c>
      <c r="N14" s="82">
        <f t="shared" si="2"/>
        <v>109007</v>
      </c>
      <c r="O14" s="82">
        <f>O15+O16+O17+O18+O19+O23+O26+O36</f>
        <v>35</v>
      </c>
      <c r="P14" s="82">
        <f>P15+P16+P17+P18+P19+P23+P26+P36</f>
        <v>1702</v>
      </c>
      <c r="Q14" s="82">
        <f t="shared" si="2"/>
        <v>699</v>
      </c>
      <c r="R14" s="82">
        <f t="shared" si="2"/>
        <v>11732</v>
      </c>
      <c r="S14" s="82">
        <f t="shared" si="2"/>
        <v>1522</v>
      </c>
      <c r="T14" s="82">
        <f t="shared" si="2"/>
        <v>29566</v>
      </c>
      <c r="U14" s="82">
        <f t="shared" si="2"/>
        <v>17370</v>
      </c>
      <c r="V14" s="82">
        <f t="shared" si="2"/>
        <v>124285</v>
      </c>
      <c r="W14" s="82">
        <f t="shared" si="2"/>
        <v>1102</v>
      </c>
      <c r="X14" s="82">
        <f t="shared" si="2"/>
        <v>14750</v>
      </c>
      <c r="Y14" s="82">
        <f t="shared" si="2"/>
        <v>3351</v>
      </c>
      <c r="Z14" s="82">
        <f t="shared" si="2"/>
        <v>10787</v>
      </c>
      <c r="AA14" s="82">
        <f t="shared" si="2"/>
        <v>2369</v>
      </c>
      <c r="AB14" s="82">
        <f t="shared" si="2"/>
        <v>12732</v>
      </c>
      <c r="AC14" s="82">
        <f t="shared" si="2"/>
        <v>7764</v>
      </c>
      <c r="AD14" s="82">
        <f t="shared" si="2"/>
        <v>56200</v>
      </c>
      <c r="AE14" s="82">
        <f t="shared" si="2"/>
        <v>5381</v>
      </c>
      <c r="AF14" s="82">
        <f t="shared" si="2"/>
        <v>24284</v>
      </c>
      <c r="AG14" s="82">
        <f t="shared" si="2"/>
        <v>1973</v>
      </c>
      <c r="AH14" s="82">
        <f t="shared" si="2"/>
        <v>16038</v>
      </c>
      <c r="AI14" s="82">
        <f t="shared" si="2"/>
        <v>3210</v>
      </c>
      <c r="AJ14" s="82">
        <f t="shared" si="2"/>
        <v>53574</v>
      </c>
      <c r="AK14" s="82">
        <f t="shared" si="2"/>
        <v>510</v>
      </c>
      <c r="AL14" s="82">
        <f t="shared" si="2"/>
        <v>5465</v>
      </c>
      <c r="AM14" s="82">
        <f t="shared" si="2"/>
        <v>4814</v>
      </c>
      <c r="AN14" s="82">
        <f t="shared" si="2"/>
        <v>41107</v>
      </c>
      <c r="AO14" s="82"/>
      <c r="AP14" s="82"/>
    </row>
    <row r="15" spans="1:230" s="85" customFormat="1" ht="30" customHeight="1">
      <c r="A15" s="307" t="s">
        <v>38</v>
      </c>
      <c r="B15" s="277"/>
      <c r="C15" s="82">
        <f aca="true" t="shared" si="3" ref="C15:D24">E15+G15</f>
        <v>28147</v>
      </c>
      <c r="D15" s="82">
        <f t="shared" si="3"/>
        <v>260407</v>
      </c>
      <c r="E15" s="82">
        <v>61</v>
      </c>
      <c r="F15" s="82">
        <v>534</v>
      </c>
      <c r="G15" s="82">
        <f>I15+K15+M15+O15+Q15+S15+U15+W15+Y15+AA15+AC15+AE15+AG15+AI15+AK15+AM15+AO15</f>
        <v>28086</v>
      </c>
      <c r="H15" s="82">
        <f>J15+L15+N15+P15+R15+T15+V15+X15+Z15+AB15+AD15+AF15+AH15+AJ15+AL15+AN15+AP15</f>
        <v>259873</v>
      </c>
      <c r="I15" s="82">
        <v>10</v>
      </c>
      <c r="J15" s="82">
        <v>61</v>
      </c>
      <c r="K15" s="82">
        <v>2686</v>
      </c>
      <c r="L15" s="82">
        <v>21786</v>
      </c>
      <c r="M15" s="82">
        <v>2133</v>
      </c>
      <c r="N15" s="82">
        <v>24212</v>
      </c>
      <c r="O15" s="82">
        <v>9</v>
      </c>
      <c r="P15" s="82">
        <v>574</v>
      </c>
      <c r="Q15" s="82">
        <v>455</v>
      </c>
      <c r="R15" s="82">
        <v>8630</v>
      </c>
      <c r="S15" s="82">
        <v>670</v>
      </c>
      <c r="T15" s="82">
        <v>14680</v>
      </c>
      <c r="U15" s="82">
        <v>7613</v>
      </c>
      <c r="V15" s="82">
        <v>62189</v>
      </c>
      <c r="W15" s="82">
        <v>595</v>
      </c>
      <c r="X15" s="82">
        <v>9539</v>
      </c>
      <c r="Y15" s="82">
        <v>2020</v>
      </c>
      <c r="Z15" s="82">
        <v>6703</v>
      </c>
      <c r="AA15" s="82">
        <v>1357</v>
      </c>
      <c r="AB15" s="82">
        <v>7922</v>
      </c>
      <c r="AC15" s="82">
        <v>3524</v>
      </c>
      <c r="AD15" s="82">
        <v>28178</v>
      </c>
      <c r="AE15" s="82">
        <v>2201</v>
      </c>
      <c r="AF15" s="82">
        <v>10974</v>
      </c>
      <c r="AG15" s="123">
        <v>991</v>
      </c>
      <c r="AH15" s="123">
        <v>10615</v>
      </c>
      <c r="AI15" s="123">
        <v>1395</v>
      </c>
      <c r="AJ15" s="123">
        <v>25410</v>
      </c>
      <c r="AK15" s="123">
        <v>150</v>
      </c>
      <c r="AL15" s="123">
        <v>1401</v>
      </c>
      <c r="AM15" s="123">
        <v>2277</v>
      </c>
      <c r="AN15" s="123">
        <v>26999</v>
      </c>
      <c r="AO15" s="123"/>
      <c r="AP15" s="123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</row>
    <row r="16" spans="1:230" s="66" customFormat="1" ht="30" customHeight="1">
      <c r="A16" s="307" t="s">
        <v>39</v>
      </c>
      <c r="B16" s="277"/>
      <c r="C16" s="82">
        <f t="shared" si="3"/>
        <v>3931</v>
      </c>
      <c r="D16" s="82">
        <f t="shared" si="3"/>
        <v>28363</v>
      </c>
      <c r="E16" s="82">
        <v>23</v>
      </c>
      <c r="F16" s="82">
        <v>382</v>
      </c>
      <c r="G16" s="82">
        <f aca="true" t="shared" si="4" ref="G16:H23">I16+K16+M16+O16+Q16+S16+U16+W16+Y16+AA16+AC16+AE16+AG16+AI16+AK16+AM16+AO16</f>
        <v>3908</v>
      </c>
      <c r="H16" s="82">
        <f t="shared" si="4"/>
        <v>27981</v>
      </c>
      <c r="I16" s="82">
        <v>4</v>
      </c>
      <c r="J16" s="82">
        <v>28</v>
      </c>
      <c r="K16" s="82">
        <v>415</v>
      </c>
      <c r="L16" s="82">
        <v>2397</v>
      </c>
      <c r="M16" s="82">
        <v>366</v>
      </c>
      <c r="N16" s="82">
        <v>4512</v>
      </c>
      <c r="O16" s="82">
        <v>5</v>
      </c>
      <c r="P16" s="82">
        <v>299</v>
      </c>
      <c r="Q16" s="82">
        <v>22</v>
      </c>
      <c r="R16" s="82">
        <v>87</v>
      </c>
      <c r="S16" s="82">
        <v>90</v>
      </c>
      <c r="T16" s="82">
        <v>1396</v>
      </c>
      <c r="U16" s="82">
        <v>1124</v>
      </c>
      <c r="V16" s="82">
        <v>6149</v>
      </c>
      <c r="W16" s="82">
        <v>75</v>
      </c>
      <c r="X16" s="82">
        <v>774</v>
      </c>
      <c r="Y16" s="82">
        <v>130</v>
      </c>
      <c r="Z16" s="82">
        <v>315</v>
      </c>
      <c r="AA16" s="82">
        <v>104</v>
      </c>
      <c r="AB16" s="82">
        <v>459</v>
      </c>
      <c r="AC16" s="82">
        <v>542</v>
      </c>
      <c r="AD16" s="82">
        <v>3638</v>
      </c>
      <c r="AE16" s="82">
        <v>363</v>
      </c>
      <c r="AF16" s="82">
        <v>1312</v>
      </c>
      <c r="AG16" s="123">
        <v>110</v>
      </c>
      <c r="AH16" s="123">
        <v>399</v>
      </c>
      <c r="AI16" s="123">
        <v>197</v>
      </c>
      <c r="AJ16" s="123">
        <v>3538</v>
      </c>
      <c r="AK16" s="123">
        <v>44</v>
      </c>
      <c r="AL16" s="123">
        <v>351</v>
      </c>
      <c r="AM16" s="123">
        <v>317</v>
      </c>
      <c r="AN16" s="123">
        <v>2327</v>
      </c>
      <c r="AO16" s="123"/>
      <c r="AP16" s="123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</row>
    <row r="17" spans="1:230" s="66" customFormat="1" ht="30" customHeight="1">
      <c r="A17" s="307" t="s">
        <v>40</v>
      </c>
      <c r="B17" s="277"/>
      <c r="C17" s="82">
        <f t="shared" si="3"/>
        <v>6367</v>
      </c>
      <c r="D17" s="82">
        <f t="shared" si="3"/>
        <v>53131</v>
      </c>
      <c r="E17" s="82">
        <v>18</v>
      </c>
      <c r="F17" s="82">
        <v>150</v>
      </c>
      <c r="G17" s="82">
        <f t="shared" si="4"/>
        <v>6349</v>
      </c>
      <c r="H17" s="82">
        <f t="shared" si="4"/>
        <v>52981</v>
      </c>
      <c r="I17" s="82">
        <v>1</v>
      </c>
      <c r="J17" s="82">
        <v>4</v>
      </c>
      <c r="K17" s="82">
        <v>725</v>
      </c>
      <c r="L17" s="82">
        <v>4052</v>
      </c>
      <c r="M17" s="82">
        <v>1143</v>
      </c>
      <c r="N17" s="82">
        <v>17150</v>
      </c>
      <c r="O17" s="82">
        <v>5</v>
      </c>
      <c r="P17" s="82">
        <v>201</v>
      </c>
      <c r="Q17" s="82">
        <v>46</v>
      </c>
      <c r="R17" s="82">
        <v>401</v>
      </c>
      <c r="S17" s="82">
        <v>122</v>
      </c>
      <c r="T17" s="82">
        <v>2299</v>
      </c>
      <c r="U17" s="82">
        <v>1568</v>
      </c>
      <c r="V17" s="82">
        <v>10247</v>
      </c>
      <c r="W17" s="82">
        <v>102</v>
      </c>
      <c r="X17" s="82">
        <v>1136</v>
      </c>
      <c r="Y17" s="82">
        <v>263</v>
      </c>
      <c r="Z17" s="82">
        <v>846</v>
      </c>
      <c r="AA17" s="82">
        <v>250</v>
      </c>
      <c r="AB17" s="82">
        <v>1054</v>
      </c>
      <c r="AC17" s="82">
        <v>723</v>
      </c>
      <c r="AD17" s="82">
        <v>4797</v>
      </c>
      <c r="AE17" s="82">
        <v>543</v>
      </c>
      <c r="AF17" s="82">
        <v>2493</v>
      </c>
      <c r="AG17" s="123">
        <v>159</v>
      </c>
      <c r="AH17" s="123">
        <v>881</v>
      </c>
      <c r="AI17" s="123">
        <v>285</v>
      </c>
      <c r="AJ17" s="123">
        <v>4758</v>
      </c>
      <c r="AK17" s="123">
        <v>67</v>
      </c>
      <c r="AL17" s="123">
        <v>650</v>
      </c>
      <c r="AM17" s="123">
        <v>347</v>
      </c>
      <c r="AN17" s="123">
        <v>2012</v>
      </c>
      <c r="AO17" s="123"/>
      <c r="AP17" s="123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</row>
    <row r="18" spans="1:230" s="66" customFormat="1" ht="30" customHeight="1">
      <c r="A18" s="307" t="s">
        <v>41</v>
      </c>
      <c r="B18" s="277"/>
      <c r="C18" s="82">
        <f t="shared" si="3"/>
        <v>2036</v>
      </c>
      <c r="D18" s="82">
        <f t="shared" si="3"/>
        <v>10890</v>
      </c>
      <c r="E18" s="82">
        <v>30</v>
      </c>
      <c r="F18" s="82">
        <v>557</v>
      </c>
      <c r="G18" s="82">
        <f t="shared" si="4"/>
        <v>2006</v>
      </c>
      <c r="H18" s="82">
        <f t="shared" si="4"/>
        <v>10333</v>
      </c>
      <c r="I18" s="82">
        <v>2</v>
      </c>
      <c r="J18" s="82">
        <v>27</v>
      </c>
      <c r="K18" s="82">
        <v>190</v>
      </c>
      <c r="L18" s="82">
        <v>1413</v>
      </c>
      <c r="M18" s="82">
        <v>369</v>
      </c>
      <c r="N18" s="82">
        <v>2127</v>
      </c>
      <c r="O18" s="82">
        <v>2</v>
      </c>
      <c r="P18" s="82">
        <v>40</v>
      </c>
      <c r="Q18" s="82">
        <v>8</v>
      </c>
      <c r="R18" s="82">
        <v>39</v>
      </c>
      <c r="S18" s="82">
        <v>32</v>
      </c>
      <c r="T18" s="82">
        <v>398</v>
      </c>
      <c r="U18" s="82">
        <v>612</v>
      </c>
      <c r="V18" s="82">
        <v>2477</v>
      </c>
      <c r="W18" s="82">
        <v>26</v>
      </c>
      <c r="X18" s="82">
        <v>213</v>
      </c>
      <c r="Y18" s="82">
        <v>25</v>
      </c>
      <c r="Z18" s="82">
        <v>81</v>
      </c>
      <c r="AA18" s="82">
        <v>34</v>
      </c>
      <c r="AB18" s="82">
        <v>103</v>
      </c>
      <c r="AC18" s="82">
        <v>259</v>
      </c>
      <c r="AD18" s="82">
        <v>1098</v>
      </c>
      <c r="AE18" s="82">
        <v>141</v>
      </c>
      <c r="AF18" s="82">
        <v>384</v>
      </c>
      <c r="AG18" s="123">
        <v>26</v>
      </c>
      <c r="AH18" s="123">
        <v>309</v>
      </c>
      <c r="AI18" s="123">
        <v>59</v>
      </c>
      <c r="AJ18" s="123">
        <v>979</v>
      </c>
      <c r="AK18" s="123">
        <v>26</v>
      </c>
      <c r="AL18" s="123">
        <v>204</v>
      </c>
      <c r="AM18" s="123">
        <v>195</v>
      </c>
      <c r="AN18" s="123">
        <v>441</v>
      </c>
      <c r="AO18" s="123"/>
      <c r="AP18" s="123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</row>
    <row r="19" spans="1:230" s="66" customFormat="1" ht="30" customHeight="1">
      <c r="A19" s="307" t="s">
        <v>42</v>
      </c>
      <c r="B19" s="277"/>
      <c r="C19" s="82">
        <f t="shared" si="3"/>
        <v>1181</v>
      </c>
      <c r="D19" s="82">
        <f t="shared" si="3"/>
        <v>6504</v>
      </c>
      <c r="E19" s="82">
        <v>19</v>
      </c>
      <c r="F19" s="82">
        <v>208</v>
      </c>
      <c r="G19" s="82">
        <f t="shared" si="4"/>
        <v>1162</v>
      </c>
      <c r="H19" s="82">
        <f t="shared" si="4"/>
        <v>6296</v>
      </c>
      <c r="I19" s="82">
        <v>2</v>
      </c>
      <c r="J19" s="82">
        <v>12</v>
      </c>
      <c r="K19" s="82">
        <v>161</v>
      </c>
      <c r="L19" s="82">
        <v>865</v>
      </c>
      <c r="M19" s="82">
        <v>86</v>
      </c>
      <c r="N19" s="82">
        <v>1101</v>
      </c>
      <c r="O19" s="82">
        <v>4</v>
      </c>
      <c r="P19" s="82">
        <v>48</v>
      </c>
      <c r="Q19" s="82">
        <v>5</v>
      </c>
      <c r="R19" s="82">
        <v>18</v>
      </c>
      <c r="S19" s="82">
        <v>30</v>
      </c>
      <c r="T19" s="82">
        <v>250</v>
      </c>
      <c r="U19" s="82">
        <v>382</v>
      </c>
      <c r="V19" s="82">
        <v>1625</v>
      </c>
      <c r="W19" s="82">
        <v>14</v>
      </c>
      <c r="X19" s="82">
        <v>142</v>
      </c>
      <c r="Y19" s="82">
        <v>13</v>
      </c>
      <c r="Z19" s="82">
        <v>31</v>
      </c>
      <c r="AA19" s="82">
        <v>23</v>
      </c>
      <c r="AB19" s="82">
        <v>60</v>
      </c>
      <c r="AC19" s="82">
        <v>123</v>
      </c>
      <c r="AD19" s="82">
        <v>513</v>
      </c>
      <c r="AE19" s="82">
        <v>115</v>
      </c>
      <c r="AF19" s="82">
        <v>392</v>
      </c>
      <c r="AG19" s="123">
        <v>23</v>
      </c>
      <c r="AH19" s="123">
        <v>41</v>
      </c>
      <c r="AI19" s="123">
        <v>35</v>
      </c>
      <c r="AJ19" s="123">
        <v>529</v>
      </c>
      <c r="AK19" s="123">
        <v>18</v>
      </c>
      <c r="AL19" s="123">
        <v>154</v>
      </c>
      <c r="AM19" s="123">
        <v>128</v>
      </c>
      <c r="AN19" s="123">
        <v>515</v>
      </c>
      <c r="AO19" s="123"/>
      <c r="AP19" s="123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</row>
    <row r="20" spans="1:230" s="66" customFormat="1" ht="30" customHeight="1">
      <c r="A20" s="307" t="s">
        <v>43</v>
      </c>
      <c r="B20" s="277"/>
      <c r="C20" s="82">
        <f t="shared" si="3"/>
        <v>4260</v>
      </c>
      <c r="D20" s="82">
        <f t="shared" si="3"/>
        <v>32896</v>
      </c>
      <c r="E20" s="82">
        <v>14</v>
      </c>
      <c r="F20" s="82">
        <v>188</v>
      </c>
      <c r="G20" s="82">
        <f>I20+K20+M20+Q20+S20+U20+W20+Y20+AA20+AC20+AE20+AG20+AI20+AK20+AM20+AO20</f>
        <v>4246</v>
      </c>
      <c r="H20" s="82">
        <f>J20+L20+N20+R20+T20+V20+X20+Z20+AB20+AD20+AF20+AH20+AJ20+AL20+AN20+AP20</f>
        <v>32708</v>
      </c>
      <c r="I20" s="144">
        <v>2</v>
      </c>
      <c r="J20" s="144">
        <v>13</v>
      </c>
      <c r="K20" s="82">
        <v>397</v>
      </c>
      <c r="L20" s="82">
        <v>1958</v>
      </c>
      <c r="M20" s="82">
        <v>928</v>
      </c>
      <c r="N20" s="82">
        <v>9375</v>
      </c>
      <c r="O20" s="123" t="s">
        <v>15</v>
      </c>
      <c r="P20" s="123" t="s">
        <v>15</v>
      </c>
      <c r="Q20" s="82">
        <v>16</v>
      </c>
      <c r="R20" s="82">
        <v>196</v>
      </c>
      <c r="S20" s="82">
        <v>55</v>
      </c>
      <c r="T20" s="82">
        <v>1059</v>
      </c>
      <c r="U20" s="82">
        <v>1035</v>
      </c>
      <c r="V20" s="82">
        <v>6287</v>
      </c>
      <c r="W20" s="82">
        <v>46</v>
      </c>
      <c r="X20" s="82">
        <v>518</v>
      </c>
      <c r="Y20" s="82">
        <v>183</v>
      </c>
      <c r="Z20" s="82">
        <v>441</v>
      </c>
      <c r="AA20" s="82">
        <v>65</v>
      </c>
      <c r="AB20" s="82">
        <v>181</v>
      </c>
      <c r="AC20" s="82">
        <v>594</v>
      </c>
      <c r="AD20" s="82">
        <v>5072</v>
      </c>
      <c r="AE20" s="82">
        <v>382</v>
      </c>
      <c r="AF20" s="82">
        <v>1759</v>
      </c>
      <c r="AG20" s="123">
        <v>70</v>
      </c>
      <c r="AH20" s="123">
        <v>221</v>
      </c>
      <c r="AI20" s="123">
        <v>219</v>
      </c>
      <c r="AJ20" s="123">
        <v>3791</v>
      </c>
      <c r="AK20" s="123">
        <v>27</v>
      </c>
      <c r="AL20" s="123">
        <v>300</v>
      </c>
      <c r="AM20" s="123">
        <v>227</v>
      </c>
      <c r="AN20" s="123">
        <v>1537</v>
      </c>
      <c r="AO20" s="123"/>
      <c r="AP20" s="123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</row>
    <row r="21" spans="1:230" s="85" customFormat="1" ht="30" customHeight="1">
      <c r="A21" s="307" t="s">
        <v>44</v>
      </c>
      <c r="B21" s="277"/>
      <c r="C21" s="82">
        <f t="shared" si="3"/>
        <v>1410</v>
      </c>
      <c r="D21" s="82">
        <f t="shared" si="3"/>
        <v>9700</v>
      </c>
      <c r="E21" s="82">
        <v>15</v>
      </c>
      <c r="F21" s="82">
        <v>129</v>
      </c>
      <c r="G21" s="82">
        <f>K21+M21+Q21+S21+U21+W21+Y21+AA21+AC21+AE21+AG21+AI21+AK21+AM21+AO21</f>
        <v>1395</v>
      </c>
      <c r="H21" s="82">
        <f>L21+N21+R21+T21+V21+X21+Z21+AB21+AD21+AF21+AH21+AJ21+AL21+AN21+AP21</f>
        <v>9571</v>
      </c>
      <c r="I21" s="144" t="s">
        <v>15</v>
      </c>
      <c r="J21" s="144" t="s">
        <v>15</v>
      </c>
      <c r="K21" s="82">
        <v>165</v>
      </c>
      <c r="L21" s="82">
        <v>912</v>
      </c>
      <c r="M21" s="82">
        <v>163</v>
      </c>
      <c r="N21" s="82">
        <v>2580</v>
      </c>
      <c r="O21" s="123" t="s">
        <v>15</v>
      </c>
      <c r="P21" s="123" t="s">
        <v>15</v>
      </c>
      <c r="Q21" s="82">
        <v>8</v>
      </c>
      <c r="R21" s="82">
        <v>27</v>
      </c>
      <c r="S21" s="82">
        <v>31</v>
      </c>
      <c r="T21" s="82">
        <v>458</v>
      </c>
      <c r="U21" s="82">
        <v>370</v>
      </c>
      <c r="V21" s="82">
        <v>1909</v>
      </c>
      <c r="W21" s="82">
        <v>17</v>
      </c>
      <c r="X21" s="82">
        <v>199</v>
      </c>
      <c r="Y21" s="82">
        <v>37</v>
      </c>
      <c r="Z21" s="82">
        <v>109</v>
      </c>
      <c r="AA21" s="82">
        <v>34</v>
      </c>
      <c r="AB21" s="82">
        <v>138</v>
      </c>
      <c r="AC21" s="82">
        <v>169</v>
      </c>
      <c r="AD21" s="82">
        <v>802</v>
      </c>
      <c r="AE21" s="82">
        <v>128</v>
      </c>
      <c r="AF21" s="82">
        <v>481</v>
      </c>
      <c r="AG21" s="123">
        <v>46</v>
      </c>
      <c r="AH21" s="123">
        <v>213</v>
      </c>
      <c r="AI21" s="123">
        <v>87</v>
      </c>
      <c r="AJ21" s="123">
        <v>878</v>
      </c>
      <c r="AK21" s="123">
        <v>18</v>
      </c>
      <c r="AL21" s="123">
        <v>262</v>
      </c>
      <c r="AM21" s="123">
        <v>122</v>
      </c>
      <c r="AN21" s="123">
        <v>603</v>
      </c>
      <c r="AO21" s="123"/>
      <c r="AP21" s="123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</row>
    <row r="22" spans="1:230" s="66" customFormat="1" ht="30" customHeight="1">
      <c r="A22" s="307" t="s">
        <v>201</v>
      </c>
      <c r="B22" s="277"/>
      <c r="C22" s="82">
        <f t="shared" si="3"/>
        <v>1857</v>
      </c>
      <c r="D22" s="82">
        <f t="shared" si="3"/>
        <v>14329</v>
      </c>
      <c r="E22" s="82">
        <v>8</v>
      </c>
      <c r="F22" s="82">
        <v>53</v>
      </c>
      <c r="G22" s="82">
        <f>I22+K22+M22+Q22+S22+U22+W22+Y22+AA22+AC22+AE22+AG22+AI22+AK22+AM22+AO22</f>
        <v>1849</v>
      </c>
      <c r="H22" s="82">
        <f>J22+L22+N22+R22+T22+V22+X22+Z22+AB22+AD22+AF22+AH22+AJ22+AL22+AN22+AP22</f>
        <v>14276</v>
      </c>
      <c r="I22" s="82">
        <v>2</v>
      </c>
      <c r="J22" s="82">
        <v>8</v>
      </c>
      <c r="K22" s="82">
        <v>224</v>
      </c>
      <c r="L22" s="82">
        <v>1088</v>
      </c>
      <c r="M22" s="82">
        <v>574</v>
      </c>
      <c r="N22" s="82">
        <v>5921</v>
      </c>
      <c r="O22" s="123" t="s">
        <v>15</v>
      </c>
      <c r="P22" s="123" t="s">
        <v>15</v>
      </c>
      <c r="Q22" s="82">
        <v>10</v>
      </c>
      <c r="R22" s="82">
        <v>378</v>
      </c>
      <c r="S22" s="82">
        <v>43</v>
      </c>
      <c r="T22" s="82">
        <v>528</v>
      </c>
      <c r="U22" s="82">
        <v>407</v>
      </c>
      <c r="V22" s="82">
        <v>2627</v>
      </c>
      <c r="W22" s="82">
        <v>16</v>
      </c>
      <c r="X22" s="82">
        <v>194</v>
      </c>
      <c r="Y22" s="82">
        <v>51</v>
      </c>
      <c r="Z22" s="82">
        <v>108</v>
      </c>
      <c r="AA22" s="82">
        <v>34</v>
      </c>
      <c r="AB22" s="82">
        <v>184</v>
      </c>
      <c r="AC22" s="82">
        <v>123</v>
      </c>
      <c r="AD22" s="82">
        <v>868</v>
      </c>
      <c r="AE22" s="82">
        <v>148</v>
      </c>
      <c r="AF22" s="82">
        <v>662</v>
      </c>
      <c r="AG22" s="123">
        <v>43</v>
      </c>
      <c r="AH22" s="123">
        <v>143</v>
      </c>
      <c r="AI22" s="123">
        <v>72</v>
      </c>
      <c r="AJ22" s="123">
        <v>873</v>
      </c>
      <c r="AK22" s="123">
        <v>9</v>
      </c>
      <c r="AL22" s="123">
        <v>93</v>
      </c>
      <c r="AM22" s="123">
        <v>93</v>
      </c>
      <c r="AN22" s="123">
        <v>601</v>
      </c>
      <c r="AO22" s="123"/>
      <c r="AP22" s="123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</row>
    <row r="23" spans="1:42" s="66" customFormat="1" ht="30" customHeight="1">
      <c r="A23" s="307" t="s">
        <v>260</v>
      </c>
      <c r="B23" s="277"/>
      <c r="C23" s="82">
        <f t="shared" si="3"/>
        <v>5029</v>
      </c>
      <c r="D23" s="82">
        <f t="shared" si="3"/>
        <v>52216</v>
      </c>
      <c r="E23" s="82">
        <v>68</v>
      </c>
      <c r="F23" s="82">
        <v>689</v>
      </c>
      <c r="G23" s="82">
        <f t="shared" si="4"/>
        <v>4961</v>
      </c>
      <c r="H23" s="82">
        <f t="shared" si="4"/>
        <v>51527</v>
      </c>
      <c r="I23" s="82">
        <v>8</v>
      </c>
      <c r="J23" s="82">
        <v>53</v>
      </c>
      <c r="K23" s="82">
        <v>775</v>
      </c>
      <c r="L23" s="82">
        <v>4194</v>
      </c>
      <c r="M23" s="82">
        <v>713</v>
      </c>
      <c r="N23" s="82">
        <v>18516</v>
      </c>
      <c r="O23" s="82">
        <v>4</v>
      </c>
      <c r="P23" s="82">
        <v>86</v>
      </c>
      <c r="Q23" s="82">
        <v>46</v>
      </c>
      <c r="R23" s="82">
        <v>1306</v>
      </c>
      <c r="S23" s="82">
        <v>172</v>
      </c>
      <c r="T23" s="82">
        <v>4395</v>
      </c>
      <c r="U23" s="82">
        <v>1241</v>
      </c>
      <c r="V23" s="82">
        <v>9756</v>
      </c>
      <c r="W23" s="82">
        <v>62</v>
      </c>
      <c r="X23" s="82">
        <v>581</v>
      </c>
      <c r="Y23" s="82">
        <v>186</v>
      </c>
      <c r="Z23" s="82">
        <v>809</v>
      </c>
      <c r="AA23" s="82">
        <v>163</v>
      </c>
      <c r="AB23" s="82">
        <v>780</v>
      </c>
      <c r="AC23" s="82">
        <v>509</v>
      </c>
      <c r="AD23" s="82">
        <v>3408</v>
      </c>
      <c r="AE23" s="82">
        <v>342</v>
      </c>
      <c r="AF23" s="82">
        <v>1261</v>
      </c>
      <c r="AG23" s="123">
        <v>154</v>
      </c>
      <c r="AH23" s="123">
        <v>784</v>
      </c>
      <c r="AI23" s="123">
        <v>253</v>
      </c>
      <c r="AJ23" s="123">
        <v>2646</v>
      </c>
      <c r="AK23" s="123">
        <v>40</v>
      </c>
      <c r="AL23" s="123">
        <v>621</v>
      </c>
      <c r="AM23" s="123">
        <v>293</v>
      </c>
      <c r="AN23" s="123">
        <v>2331</v>
      </c>
      <c r="AO23" s="123"/>
      <c r="AP23" s="123"/>
    </row>
    <row r="24" spans="1:230" s="85" customFormat="1" ht="30" customHeight="1">
      <c r="A24" s="307" t="s">
        <v>202</v>
      </c>
      <c r="B24" s="277"/>
      <c r="C24" s="82">
        <f t="shared" si="3"/>
        <v>2302</v>
      </c>
      <c r="D24" s="82">
        <f t="shared" si="3"/>
        <v>21618</v>
      </c>
      <c r="E24" s="82">
        <v>19</v>
      </c>
      <c r="F24" s="82">
        <v>130</v>
      </c>
      <c r="G24" s="82">
        <f>I24+K24+M24+Q24+S24+U24+W24+Y24+AA24+AC24+AE24+AG24+AI24+AK24+AM24+AO24</f>
        <v>2283</v>
      </c>
      <c r="H24" s="82">
        <f>J24+L24+N24+R24+T24+V24+X24+Z24+AB24+AD24+AF24+AH24+AJ24+AL24+AN24+AP24</f>
        <v>21488</v>
      </c>
      <c r="I24" s="123">
        <v>1</v>
      </c>
      <c r="J24" s="123">
        <v>13</v>
      </c>
      <c r="K24" s="123">
        <v>324</v>
      </c>
      <c r="L24" s="123">
        <v>1485</v>
      </c>
      <c r="M24" s="123">
        <v>546</v>
      </c>
      <c r="N24" s="123">
        <v>9572</v>
      </c>
      <c r="O24" s="123" t="s">
        <v>15</v>
      </c>
      <c r="P24" s="123" t="s">
        <v>15</v>
      </c>
      <c r="Q24" s="123">
        <v>22</v>
      </c>
      <c r="R24" s="123">
        <v>304</v>
      </c>
      <c r="S24" s="123">
        <v>55</v>
      </c>
      <c r="T24" s="123">
        <v>884</v>
      </c>
      <c r="U24" s="123">
        <v>555</v>
      </c>
      <c r="V24" s="123">
        <v>3095</v>
      </c>
      <c r="W24" s="123">
        <v>21</v>
      </c>
      <c r="X24" s="123">
        <v>223</v>
      </c>
      <c r="Y24" s="123">
        <v>64</v>
      </c>
      <c r="Z24" s="123">
        <v>183</v>
      </c>
      <c r="AA24" s="123">
        <v>76</v>
      </c>
      <c r="AB24" s="123">
        <v>518</v>
      </c>
      <c r="AC24" s="123">
        <v>173</v>
      </c>
      <c r="AD24" s="123">
        <v>1068</v>
      </c>
      <c r="AE24" s="123">
        <v>138</v>
      </c>
      <c r="AF24" s="123">
        <v>713</v>
      </c>
      <c r="AG24" s="123">
        <v>88</v>
      </c>
      <c r="AH24" s="123">
        <v>895</v>
      </c>
      <c r="AI24" s="123">
        <v>100</v>
      </c>
      <c r="AJ24" s="123">
        <v>1679</v>
      </c>
      <c r="AK24" s="123">
        <v>15</v>
      </c>
      <c r="AL24" s="123">
        <v>265</v>
      </c>
      <c r="AM24" s="123">
        <v>105</v>
      </c>
      <c r="AN24" s="123">
        <v>591</v>
      </c>
      <c r="AO24" s="123"/>
      <c r="AP24" s="123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</row>
    <row r="25" spans="1:42" s="66" customFormat="1" ht="30" customHeight="1">
      <c r="A25" s="124"/>
      <c r="B25" s="125"/>
      <c r="C25" s="81"/>
      <c r="D25" s="81"/>
      <c r="E25" s="126"/>
      <c r="F25" s="126"/>
      <c r="G25" s="88"/>
      <c r="H25" s="88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80"/>
      <c r="AH25" s="80"/>
      <c r="AI25" s="126"/>
      <c r="AJ25" s="126"/>
      <c r="AK25" s="80"/>
      <c r="AL25" s="80"/>
      <c r="AM25" s="126"/>
      <c r="AN25" s="126"/>
      <c r="AO25" s="126"/>
      <c r="AP25" s="126"/>
    </row>
    <row r="26" spans="1:42" s="66" customFormat="1" ht="30" customHeight="1">
      <c r="A26" s="307" t="s">
        <v>45</v>
      </c>
      <c r="B26" s="277"/>
      <c r="C26" s="82">
        <f>E26+G26</f>
        <v>282</v>
      </c>
      <c r="D26" s="82">
        <f>F26+H26</f>
        <v>2782</v>
      </c>
      <c r="E26" s="82">
        <f>E27</f>
        <v>4</v>
      </c>
      <c r="F26" s="82">
        <f aca="true" t="shared" si="5" ref="F26:AN26">F27</f>
        <v>35</v>
      </c>
      <c r="G26" s="82">
        <f t="shared" si="5"/>
        <v>278</v>
      </c>
      <c r="H26" s="82">
        <f t="shared" si="5"/>
        <v>2747</v>
      </c>
      <c r="I26" s="82">
        <f t="shared" si="5"/>
        <v>2</v>
      </c>
      <c r="J26" s="82">
        <f t="shared" si="5"/>
        <v>36</v>
      </c>
      <c r="K26" s="82">
        <f t="shared" si="5"/>
        <v>58</v>
      </c>
      <c r="L26" s="82">
        <f t="shared" si="5"/>
        <v>322</v>
      </c>
      <c r="M26" s="82">
        <f t="shared" si="5"/>
        <v>64</v>
      </c>
      <c r="N26" s="82">
        <f t="shared" si="5"/>
        <v>977</v>
      </c>
      <c r="O26" s="82">
        <f t="shared" si="5"/>
        <v>1</v>
      </c>
      <c r="P26" s="82">
        <f t="shared" si="5"/>
        <v>1</v>
      </c>
      <c r="Q26" s="82">
        <f t="shared" si="5"/>
        <v>1</v>
      </c>
      <c r="R26" s="82">
        <f t="shared" si="5"/>
        <v>3</v>
      </c>
      <c r="S26" s="82">
        <f t="shared" si="5"/>
        <v>14</v>
      </c>
      <c r="T26" s="82">
        <f t="shared" si="5"/>
        <v>233</v>
      </c>
      <c r="U26" s="82">
        <f t="shared" si="5"/>
        <v>56</v>
      </c>
      <c r="V26" s="82">
        <f t="shared" si="5"/>
        <v>752</v>
      </c>
      <c r="W26" s="82">
        <f t="shared" si="5"/>
        <v>4</v>
      </c>
      <c r="X26" s="82">
        <f t="shared" si="5"/>
        <v>17</v>
      </c>
      <c r="Y26" s="82">
        <f t="shared" si="5"/>
        <v>4</v>
      </c>
      <c r="Z26" s="82">
        <f t="shared" si="5"/>
        <v>25</v>
      </c>
      <c r="AA26" s="82">
        <f t="shared" si="5"/>
        <v>6</v>
      </c>
      <c r="AB26" s="82">
        <f t="shared" si="5"/>
        <v>64</v>
      </c>
      <c r="AC26" s="82">
        <f t="shared" si="5"/>
        <v>12</v>
      </c>
      <c r="AD26" s="82">
        <f t="shared" si="5"/>
        <v>104</v>
      </c>
      <c r="AE26" s="82">
        <f t="shared" si="5"/>
        <v>14</v>
      </c>
      <c r="AF26" s="82">
        <f t="shared" si="5"/>
        <v>46</v>
      </c>
      <c r="AG26" s="82">
        <f t="shared" si="5"/>
        <v>18</v>
      </c>
      <c r="AH26" s="82">
        <f t="shared" si="5"/>
        <v>28</v>
      </c>
      <c r="AI26" s="82">
        <f t="shared" si="5"/>
        <v>10</v>
      </c>
      <c r="AJ26" s="82">
        <f t="shared" si="5"/>
        <v>86</v>
      </c>
      <c r="AK26" s="82">
        <f t="shared" si="5"/>
        <v>2</v>
      </c>
      <c r="AL26" s="82">
        <f t="shared" si="5"/>
        <v>23</v>
      </c>
      <c r="AM26" s="82">
        <f t="shared" si="5"/>
        <v>12</v>
      </c>
      <c r="AN26" s="82">
        <f t="shared" si="5"/>
        <v>30</v>
      </c>
      <c r="AO26" s="82"/>
      <c r="AP26" s="82"/>
    </row>
    <row r="27" spans="1:230" s="15" customFormat="1" ht="30" customHeight="1">
      <c r="A27" s="134"/>
      <c r="B27" s="125" t="s">
        <v>205</v>
      </c>
      <c r="C27" s="81">
        <f>E27+G27</f>
        <v>282</v>
      </c>
      <c r="D27" s="81">
        <f>F27+H27</f>
        <v>2782</v>
      </c>
      <c r="E27" s="80">
        <v>4</v>
      </c>
      <c r="F27" s="80">
        <v>35</v>
      </c>
      <c r="G27" s="177">
        <f>I27+K27+M27+O27+Q27+S27+U27+W27+Y27+AA27+AC27+AE27+AG27+AI27+AK27+AM27+AO27</f>
        <v>278</v>
      </c>
      <c r="H27" s="177">
        <f>J27+L27+N27+P27+R27+T27+V27+X27+Z27+AB27+AD27+AF27+AH27+AJ27+AL27+AN27+AP27</f>
        <v>2747</v>
      </c>
      <c r="I27" s="33">
        <v>2</v>
      </c>
      <c r="J27" s="33">
        <v>36</v>
      </c>
      <c r="K27" s="80">
        <v>58</v>
      </c>
      <c r="L27" s="80">
        <v>322</v>
      </c>
      <c r="M27" s="80">
        <v>64</v>
      </c>
      <c r="N27" s="80">
        <v>977</v>
      </c>
      <c r="O27" s="33">
        <v>1</v>
      </c>
      <c r="P27" s="33">
        <v>1</v>
      </c>
      <c r="Q27" s="80">
        <v>1</v>
      </c>
      <c r="R27" s="80">
        <v>3</v>
      </c>
      <c r="S27" s="80">
        <v>14</v>
      </c>
      <c r="T27" s="80">
        <v>233</v>
      </c>
      <c r="U27" s="80">
        <v>56</v>
      </c>
      <c r="V27" s="80">
        <v>752</v>
      </c>
      <c r="W27" s="80">
        <v>4</v>
      </c>
      <c r="X27" s="80">
        <v>17</v>
      </c>
      <c r="Y27" s="80">
        <v>4</v>
      </c>
      <c r="Z27" s="80">
        <v>25</v>
      </c>
      <c r="AA27" s="80">
        <v>6</v>
      </c>
      <c r="AB27" s="80">
        <v>64</v>
      </c>
      <c r="AC27" s="80">
        <v>12</v>
      </c>
      <c r="AD27" s="80">
        <v>104</v>
      </c>
      <c r="AE27" s="80">
        <v>14</v>
      </c>
      <c r="AF27" s="80">
        <v>46</v>
      </c>
      <c r="AG27" s="80">
        <v>18</v>
      </c>
      <c r="AH27" s="80">
        <v>28</v>
      </c>
      <c r="AI27" s="80">
        <v>10</v>
      </c>
      <c r="AJ27" s="80">
        <v>86</v>
      </c>
      <c r="AK27" s="80">
        <v>2</v>
      </c>
      <c r="AL27" s="80">
        <v>23</v>
      </c>
      <c r="AM27" s="80">
        <v>12</v>
      </c>
      <c r="AN27" s="80">
        <v>30</v>
      </c>
      <c r="AO27" s="80"/>
      <c r="AP27" s="8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</row>
    <row r="28" spans="1:42" ht="30" customHeight="1">
      <c r="A28" s="134"/>
      <c r="B28" s="125"/>
      <c r="C28" s="81"/>
      <c r="D28" s="81"/>
      <c r="E28" s="126"/>
      <c r="F28" s="126"/>
      <c r="G28" s="88"/>
      <c r="H28" s="88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80"/>
      <c r="AH28" s="80"/>
      <c r="AI28" s="126"/>
      <c r="AJ28" s="126"/>
      <c r="AK28" s="80"/>
      <c r="AL28" s="80"/>
      <c r="AM28" s="126"/>
      <c r="AN28" s="126"/>
      <c r="AO28" s="126"/>
      <c r="AP28" s="126"/>
    </row>
    <row r="29" spans="1:42" s="66" customFormat="1" ht="30" customHeight="1">
      <c r="A29" s="307" t="s">
        <v>206</v>
      </c>
      <c r="B29" s="277"/>
      <c r="C29" s="82">
        <f>E29+G29</f>
        <v>2477</v>
      </c>
      <c r="D29" s="82">
        <f>F29+H29</f>
        <v>24311</v>
      </c>
      <c r="E29" s="82">
        <f>E30</f>
        <v>2</v>
      </c>
      <c r="F29" s="82">
        <f aca="true" t="shared" si="6" ref="F29:AN29">F30</f>
        <v>28</v>
      </c>
      <c r="G29" s="82">
        <f t="shared" si="6"/>
        <v>2475</v>
      </c>
      <c r="H29" s="82">
        <f t="shared" si="6"/>
        <v>24283</v>
      </c>
      <c r="I29" s="123" t="str">
        <f t="shared" si="6"/>
        <v>－</v>
      </c>
      <c r="J29" s="123" t="str">
        <f t="shared" si="6"/>
        <v>－</v>
      </c>
      <c r="K29" s="82">
        <f t="shared" si="6"/>
        <v>276</v>
      </c>
      <c r="L29" s="82">
        <f t="shared" si="6"/>
        <v>1987</v>
      </c>
      <c r="M29" s="82">
        <f t="shared" si="6"/>
        <v>134</v>
      </c>
      <c r="N29" s="82">
        <f t="shared" si="6"/>
        <v>2137</v>
      </c>
      <c r="O29" s="123" t="str">
        <f t="shared" si="6"/>
        <v>－</v>
      </c>
      <c r="P29" s="123" t="str">
        <f t="shared" si="6"/>
        <v>－</v>
      </c>
      <c r="Q29" s="82">
        <f t="shared" si="6"/>
        <v>26</v>
      </c>
      <c r="R29" s="82">
        <f t="shared" si="6"/>
        <v>235</v>
      </c>
      <c r="S29" s="82">
        <f t="shared" si="6"/>
        <v>59</v>
      </c>
      <c r="T29" s="82">
        <f t="shared" si="6"/>
        <v>1447</v>
      </c>
      <c r="U29" s="82">
        <f t="shared" si="6"/>
        <v>704</v>
      </c>
      <c r="V29" s="82">
        <f t="shared" si="6"/>
        <v>7884</v>
      </c>
      <c r="W29" s="82">
        <f t="shared" si="6"/>
        <v>44</v>
      </c>
      <c r="X29" s="82">
        <f t="shared" si="6"/>
        <v>401</v>
      </c>
      <c r="Y29" s="82">
        <f t="shared" si="6"/>
        <v>222</v>
      </c>
      <c r="Z29" s="82">
        <f t="shared" si="6"/>
        <v>685</v>
      </c>
      <c r="AA29" s="82">
        <f t="shared" si="6"/>
        <v>92</v>
      </c>
      <c r="AB29" s="82">
        <f t="shared" si="6"/>
        <v>734</v>
      </c>
      <c r="AC29" s="82">
        <f t="shared" si="6"/>
        <v>328</v>
      </c>
      <c r="AD29" s="82">
        <f t="shared" si="6"/>
        <v>3156</v>
      </c>
      <c r="AE29" s="82">
        <f t="shared" si="6"/>
        <v>247</v>
      </c>
      <c r="AF29" s="82">
        <f t="shared" si="6"/>
        <v>1717</v>
      </c>
      <c r="AG29" s="82">
        <f t="shared" si="6"/>
        <v>63</v>
      </c>
      <c r="AH29" s="82">
        <f t="shared" si="6"/>
        <v>881</v>
      </c>
      <c r="AI29" s="82">
        <f t="shared" si="6"/>
        <v>139</v>
      </c>
      <c r="AJ29" s="82">
        <f t="shared" si="6"/>
        <v>1951</v>
      </c>
      <c r="AK29" s="82">
        <f t="shared" si="6"/>
        <v>11</v>
      </c>
      <c r="AL29" s="82">
        <f t="shared" si="6"/>
        <v>133</v>
      </c>
      <c r="AM29" s="82">
        <f t="shared" si="6"/>
        <v>130</v>
      </c>
      <c r="AN29" s="82">
        <f t="shared" si="6"/>
        <v>935</v>
      </c>
      <c r="AO29" s="82"/>
      <c r="AP29" s="82"/>
    </row>
    <row r="30" spans="1:42" ht="30" customHeight="1">
      <c r="A30" s="124"/>
      <c r="B30" s="125" t="s">
        <v>207</v>
      </c>
      <c r="C30" s="81">
        <f>E30+G30</f>
        <v>2477</v>
      </c>
      <c r="D30" s="81">
        <f>F30+H30</f>
        <v>24311</v>
      </c>
      <c r="E30" s="80">
        <v>2</v>
      </c>
      <c r="F30" s="80">
        <v>28</v>
      </c>
      <c r="G30" s="177">
        <f>K30+M30+Q30+S30+U30+W30+Y30+AA30+AC30+AE30+AG30+AI30+AK30+AM30+AO30</f>
        <v>2475</v>
      </c>
      <c r="H30" s="177">
        <f>L30+N30+R30+T30+V30+X30+Z30+AB30+AD30+AF30+AH30+AJ30+AL30+AN30+AP30</f>
        <v>24283</v>
      </c>
      <c r="I30" s="160" t="s">
        <v>15</v>
      </c>
      <c r="J30" s="160" t="s">
        <v>15</v>
      </c>
      <c r="K30" s="80">
        <v>276</v>
      </c>
      <c r="L30" s="80">
        <v>1987</v>
      </c>
      <c r="M30" s="80">
        <v>134</v>
      </c>
      <c r="N30" s="80">
        <v>2137</v>
      </c>
      <c r="O30" s="178" t="s">
        <v>15</v>
      </c>
      <c r="P30" s="178" t="s">
        <v>15</v>
      </c>
      <c r="Q30" s="80">
        <v>26</v>
      </c>
      <c r="R30" s="80">
        <v>235</v>
      </c>
      <c r="S30" s="80">
        <v>59</v>
      </c>
      <c r="T30" s="80">
        <v>1447</v>
      </c>
      <c r="U30" s="80">
        <v>704</v>
      </c>
      <c r="V30" s="80">
        <v>7884</v>
      </c>
      <c r="W30" s="80">
        <v>44</v>
      </c>
      <c r="X30" s="80">
        <v>401</v>
      </c>
      <c r="Y30" s="80">
        <v>222</v>
      </c>
      <c r="Z30" s="80">
        <v>685</v>
      </c>
      <c r="AA30" s="80">
        <v>92</v>
      </c>
      <c r="AB30" s="80">
        <v>734</v>
      </c>
      <c r="AC30" s="80">
        <v>328</v>
      </c>
      <c r="AD30" s="80">
        <v>3156</v>
      </c>
      <c r="AE30" s="80">
        <v>247</v>
      </c>
      <c r="AF30" s="80">
        <v>1717</v>
      </c>
      <c r="AG30" s="80">
        <v>63</v>
      </c>
      <c r="AH30" s="80">
        <v>881</v>
      </c>
      <c r="AI30" s="80">
        <v>139</v>
      </c>
      <c r="AJ30" s="80">
        <v>1951</v>
      </c>
      <c r="AK30" s="80">
        <v>11</v>
      </c>
      <c r="AL30" s="80">
        <v>133</v>
      </c>
      <c r="AM30" s="80">
        <v>130</v>
      </c>
      <c r="AN30" s="80">
        <v>935</v>
      </c>
      <c r="AO30" s="80"/>
      <c r="AP30" s="80"/>
    </row>
    <row r="31" spans="1:42" ht="30" customHeight="1">
      <c r="A31" s="124"/>
      <c r="B31" s="125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80"/>
      <c r="AH31" s="80"/>
      <c r="AI31" s="126"/>
      <c r="AJ31" s="126"/>
      <c r="AK31" s="80"/>
      <c r="AL31" s="80"/>
      <c r="AM31" s="126"/>
      <c r="AN31" s="126"/>
      <c r="AO31" s="126"/>
      <c r="AP31" s="126"/>
    </row>
    <row r="32" spans="1:42" s="66" customFormat="1" ht="30" customHeight="1">
      <c r="A32" s="307" t="s">
        <v>208</v>
      </c>
      <c r="B32" s="277"/>
      <c r="C32" s="82">
        <f aca="true" t="shared" si="7" ref="C32:D34">E32+G32</f>
        <v>2125</v>
      </c>
      <c r="D32" s="82">
        <f t="shared" si="7"/>
        <v>16769</v>
      </c>
      <c r="E32" s="82">
        <f>E33+E34</f>
        <v>12</v>
      </c>
      <c r="F32" s="82">
        <f aca="true" t="shared" si="8" ref="F32:AN32">F33+F34</f>
        <v>87</v>
      </c>
      <c r="G32" s="82">
        <f t="shared" si="8"/>
        <v>2113</v>
      </c>
      <c r="H32" s="82">
        <f t="shared" si="8"/>
        <v>16682</v>
      </c>
      <c r="I32" s="123" t="s">
        <v>15</v>
      </c>
      <c r="J32" s="123" t="s">
        <v>15</v>
      </c>
      <c r="K32" s="82">
        <f t="shared" si="8"/>
        <v>413</v>
      </c>
      <c r="L32" s="82">
        <f t="shared" si="8"/>
        <v>1813</v>
      </c>
      <c r="M32" s="82">
        <f t="shared" si="8"/>
        <v>248</v>
      </c>
      <c r="N32" s="82">
        <f t="shared" si="8"/>
        <v>3330</v>
      </c>
      <c r="O32" s="123" t="s">
        <v>15</v>
      </c>
      <c r="P32" s="123" t="s">
        <v>15</v>
      </c>
      <c r="Q32" s="82">
        <f t="shared" si="8"/>
        <v>18</v>
      </c>
      <c r="R32" s="82">
        <f t="shared" si="8"/>
        <v>46</v>
      </c>
      <c r="S32" s="82">
        <f t="shared" si="8"/>
        <v>36</v>
      </c>
      <c r="T32" s="82">
        <f t="shared" si="8"/>
        <v>331</v>
      </c>
      <c r="U32" s="82">
        <f t="shared" si="8"/>
        <v>455</v>
      </c>
      <c r="V32" s="82">
        <f t="shared" si="8"/>
        <v>3511</v>
      </c>
      <c r="W32" s="82">
        <f t="shared" si="8"/>
        <v>24</v>
      </c>
      <c r="X32" s="82">
        <f t="shared" si="8"/>
        <v>244</v>
      </c>
      <c r="Y32" s="82">
        <f t="shared" si="8"/>
        <v>67</v>
      </c>
      <c r="Z32" s="82">
        <f t="shared" si="8"/>
        <v>207</v>
      </c>
      <c r="AA32" s="82">
        <f t="shared" si="8"/>
        <v>52</v>
      </c>
      <c r="AB32" s="82">
        <f t="shared" si="8"/>
        <v>208</v>
      </c>
      <c r="AC32" s="82">
        <f t="shared" si="8"/>
        <v>211</v>
      </c>
      <c r="AD32" s="82">
        <f t="shared" si="8"/>
        <v>1319</v>
      </c>
      <c r="AE32" s="82">
        <f t="shared" si="8"/>
        <v>213</v>
      </c>
      <c r="AF32" s="82">
        <f t="shared" si="8"/>
        <v>844</v>
      </c>
      <c r="AG32" s="82">
        <f t="shared" si="8"/>
        <v>103</v>
      </c>
      <c r="AH32" s="82">
        <f t="shared" si="8"/>
        <v>453</v>
      </c>
      <c r="AI32" s="82">
        <f t="shared" si="8"/>
        <v>147</v>
      </c>
      <c r="AJ32" s="82">
        <f t="shared" si="8"/>
        <v>3559</v>
      </c>
      <c r="AK32" s="82">
        <f t="shared" si="8"/>
        <v>13</v>
      </c>
      <c r="AL32" s="82">
        <f t="shared" si="8"/>
        <v>365</v>
      </c>
      <c r="AM32" s="82">
        <f t="shared" si="8"/>
        <v>113</v>
      </c>
      <c r="AN32" s="82">
        <f t="shared" si="8"/>
        <v>452</v>
      </c>
      <c r="AO32" s="82"/>
      <c r="AP32" s="82"/>
    </row>
    <row r="33" spans="1:230" s="15" customFormat="1" ht="30" customHeight="1">
      <c r="A33" s="124"/>
      <c r="B33" s="125" t="s">
        <v>209</v>
      </c>
      <c r="C33" s="81">
        <f t="shared" si="7"/>
        <v>1176</v>
      </c>
      <c r="D33" s="81">
        <f t="shared" si="7"/>
        <v>9838</v>
      </c>
      <c r="E33" s="80">
        <v>7</v>
      </c>
      <c r="F33" s="80">
        <v>34</v>
      </c>
      <c r="G33" s="177">
        <f>K33+M33+Q33+S33+U33+W33+Y33+AA33+AC33+AE33+AG33+AI33+AK33+AM33+AO33</f>
        <v>1169</v>
      </c>
      <c r="H33" s="177">
        <f>L33+N33+R33+T33+V33+X33+Z33+AB33+AD33+AF33+AH33+AJ33+AL33+AN33+AP33</f>
        <v>9804</v>
      </c>
      <c r="I33" s="160" t="s">
        <v>15</v>
      </c>
      <c r="J33" s="160" t="s">
        <v>15</v>
      </c>
      <c r="K33" s="80">
        <v>217</v>
      </c>
      <c r="L33" s="80">
        <v>1103</v>
      </c>
      <c r="M33" s="80">
        <v>147</v>
      </c>
      <c r="N33" s="80">
        <v>2745</v>
      </c>
      <c r="O33" s="178" t="s">
        <v>15</v>
      </c>
      <c r="P33" s="178" t="s">
        <v>15</v>
      </c>
      <c r="Q33" s="80">
        <v>9</v>
      </c>
      <c r="R33" s="80">
        <v>24</v>
      </c>
      <c r="S33" s="80">
        <v>18</v>
      </c>
      <c r="T33" s="80">
        <v>203</v>
      </c>
      <c r="U33" s="80">
        <v>269</v>
      </c>
      <c r="V33" s="80">
        <v>2367</v>
      </c>
      <c r="W33" s="80">
        <v>9</v>
      </c>
      <c r="X33" s="80">
        <v>117</v>
      </c>
      <c r="Y33" s="80">
        <v>40</v>
      </c>
      <c r="Z33" s="80">
        <v>131</v>
      </c>
      <c r="AA33" s="80">
        <v>27</v>
      </c>
      <c r="AB33" s="80">
        <v>110</v>
      </c>
      <c r="AC33" s="80">
        <v>110</v>
      </c>
      <c r="AD33" s="80">
        <v>809</v>
      </c>
      <c r="AE33" s="80">
        <v>109</v>
      </c>
      <c r="AF33" s="80">
        <v>477</v>
      </c>
      <c r="AG33" s="80">
        <v>51</v>
      </c>
      <c r="AH33" s="80">
        <v>307</v>
      </c>
      <c r="AI33" s="80">
        <v>75</v>
      </c>
      <c r="AJ33" s="80">
        <v>769</v>
      </c>
      <c r="AK33" s="80">
        <v>8</v>
      </c>
      <c r="AL33" s="80">
        <v>335</v>
      </c>
      <c r="AM33" s="80">
        <v>80</v>
      </c>
      <c r="AN33" s="80">
        <v>307</v>
      </c>
      <c r="AO33" s="80"/>
      <c r="AP33" s="8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</row>
    <row r="34" spans="1:42" ht="30" customHeight="1">
      <c r="A34" s="124"/>
      <c r="B34" s="125" t="s">
        <v>210</v>
      </c>
      <c r="C34" s="81">
        <f t="shared" si="7"/>
        <v>949</v>
      </c>
      <c r="D34" s="81">
        <f t="shared" si="7"/>
        <v>6931</v>
      </c>
      <c r="E34" s="80">
        <v>5</v>
      </c>
      <c r="F34" s="80">
        <v>53</v>
      </c>
      <c r="G34" s="177">
        <f>K34+M34+Q34+S34+U34+W34+Y34+AA34+AC34+AE34+AG34+AI34+AK34+AM34+AO34</f>
        <v>944</v>
      </c>
      <c r="H34" s="177">
        <f>L34+N34+R34+T34+V34+X34+Z34+AB34+AD34+AF34+AH34+AJ34+AL34+AN34+AP34</f>
        <v>6878</v>
      </c>
      <c r="I34" s="160" t="s">
        <v>15</v>
      </c>
      <c r="J34" s="160" t="s">
        <v>15</v>
      </c>
      <c r="K34" s="80">
        <v>196</v>
      </c>
      <c r="L34" s="80">
        <v>710</v>
      </c>
      <c r="M34" s="80">
        <v>101</v>
      </c>
      <c r="N34" s="80">
        <v>585</v>
      </c>
      <c r="O34" s="178" t="s">
        <v>15</v>
      </c>
      <c r="P34" s="178" t="s">
        <v>15</v>
      </c>
      <c r="Q34" s="80">
        <v>9</v>
      </c>
      <c r="R34" s="80">
        <v>22</v>
      </c>
      <c r="S34" s="80">
        <v>18</v>
      </c>
      <c r="T34" s="80">
        <v>128</v>
      </c>
      <c r="U34" s="80">
        <v>186</v>
      </c>
      <c r="V34" s="80">
        <v>1144</v>
      </c>
      <c r="W34" s="80">
        <v>15</v>
      </c>
      <c r="X34" s="80">
        <v>127</v>
      </c>
      <c r="Y34" s="80">
        <v>27</v>
      </c>
      <c r="Z34" s="80">
        <v>76</v>
      </c>
      <c r="AA34" s="80">
        <v>25</v>
      </c>
      <c r="AB34" s="80">
        <v>98</v>
      </c>
      <c r="AC34" s="80">
        <v>101</v>
      </c>
      <c r="AD34" s="80">
        <v>510</v>
      </c>
      <c r="AE34" s="80">
        <v>104</v>
      </c>
      <c r="AF34" s="80">
        <v>367</v>
      </c>
      <c r="AG34" s="80">
        <v>52</v>
      </c>
      <c r="AH34" s="80">
        <v>146</v>
      </c>
      <c r="AI34" s="80">
        <v>72</v>
      </c>
      <c r="AJ34" s="80">
        <v>2790</v>
      </c>
      <c r="AK34" s="80">
        <v>5</v>
      </c>
      <c r="AL34" s="80">
        <v>30</v>
      </c>
      <c r="AM34" s="80">
        <v>33</v>
      </c>
      <c r="AN34" s="80">
        <v>145</v>
      </c>
      <c r="AO34" s="80"/>
      <c r="AP34" s="80"/>
    </row>
    <row r="35" spans="1:42" ht="30" customHeight="1">
      <c r="A35" s="124"/>
      <c r="B35" s="125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123"/>
      <c r="AD35" s="123"/>
      <c r="AE35" s="123"/>
      <c r="AF35" s="123"/>
      <c r="AG35" s="80"/>
      <c r="AH35" s="80"/>
      <c r="AI35" s="126"/>
      <c r="AJ35" s="126"/>
      <c r="AK35" s="80"/>
      <c r="AL35" s="80"/>
      <c r="AM35" s="126"/>
      <c r="AN35" s="126"/>
      <c r="AO35" s="126"/>
      <c r="AP35" s="126"/>
    </row>
    <row r="36" spans="1:42" ht="30" customHeight="1">
      <c r="A36" s="307" t="s">
        <v>83</v>
      </c>
      <c r="B36" s="277"/>
      <c r="C36" s="82">
        <f aca="true" t="shared" si="9" ref="C36:D38">E36+G36</f>
        <v>1868</v>
      </c>
      <c r="D36" s="82">
        <f t="shared" si="9"/>
        <v>13821</v>
      </c>
      <c r="E36" s="82">
        <f>E37+E38</f>
        <v>45</v>
      </c>
      <c r="F36" s="82">
        <f aca="true" t="shared" si="10" ref="F36:AN36">F37+F38</f>
        <v>418</v>
      </c>
      <c r="G36" s="82">
        <f t="shared" si="10"/>
        <v>1823</v>
      </c>
      <c r="H36" s="82">
        <f t="shared" si="10"/>
        <v>13403</v>
      </c>
      <c r="I36" s="82">
        <f>I38</f>
        <v>2</v>
      </c>
      <c r="J36" s="82">
        <f>J38</f>
        <v>15</v>
      </c>
      <c r="K36" s="82">
        <f t="shared" si="10"/>
        <v>332</v>
      </c>
      <c r="L36" s="82">
        <f t="shared" si="10"/>
        <v>1851</v>
      </c>
      <c r="M36" s="82">
        <f t="shared" si="10"/>
        <v>240</v>
      </c>
      <c r="N36" s="82">
        <f t="shared" si="10"/>
        <v>4206</v>
      </c>
      <c r="O36" s="82">
        <f t="shared" si="10"/>
        <v>5</v>
      </c>
      <c r="P36" s="82">
        <f t="shared" si="10"/>
        <v>453</v>
      </c>
      <c r="Q36" s="82">
        <f t="shared" si="10"/>
        <v>4</v>
      </c>
      <c r="R36" s="82">
        <f t="shared" si="10"/>
        <v>7</v>
      </c>
      <c r="S36" s="82">
        <f t="shared" si="10"/>
        <v>43</v>
      </c>
      <c r="T36" s="82">
        <f t="shared" si="10"/>
        <v>476</v>
      </c>
      <c r="U36" s="82">
        <f t="shared" si="10"/>
        <v>450</v>
      </c>
      <c r="V36" s="82">
        <f t="shared" si="10"/>
        <v>2261</v>
      </c>
      <c r="W36" s="82">
        <f t="shared" si="10"/>
        <v>18</v>
      </c>
      <c r="X36" s="82">
        <f t="shared" si="10"/>
        <v>137</v>
      </c>
      <c r="Y36" s="82">
        <f t="shared" si="10"/>
        <v>20</v>
      </c>
      <c r="Z36" s="82">
        <f t="shared" si="10"/>
        <v>111</v>
      </c>
      <c r="AA36" s="82">
        <f t="shared" si="10"/>
        <v>27</v>
      </c>
      <c r="AB36" s="82">
        <f t="shared" si="10"/>
        <v>101</v>
      </c>
      <c r="AC36" s="82">
        <f t="shared" si="10"/>
        <v>191</v>
      </c>
      <c r="AD36" s="82">
        <f t="shared" si="10"/>
        <v>998</v>
      </c>
      <c r="AE36" s="82">
        <f t="shared" si="10"/>
        <v>161</v>
      </c>
      <c r="AF36" s="82">
        <f t="shared" si="10"/>
        <v>605</v>
      </c>
      <c r="AG36" s="82">
        <f t="shared" si="10"/>
        <v>31</v>
      </c>
      <c r="AH36" s="82">
        <f t="shared" si="10"/>
        <v>44</v>
      </c>
      <c r="AI36" s="82">
        <f t="shared" si="10"/>
        <v>75</v>
      </c>
      <c r="AJ36" s="82">
        <f t="shared" si="10"/>
        <v>1108</v>
      </c>
      <c r="AK36" s="82">
        <f t="shared" si="10"/>
        <v>34</v>
      </c>
      <c r="AL36" s="82">
        <f t="shared" si="10"/>
        <v>253</v>
      </c>
      <c r="AM36" s="82">
        <f t="shared" si="10"/>
        <v>190</v>
      </c>
      <c r="AN36" s="82">
        <f t="shared" si="10"/>
        <v>777</v>
      </c>
      <c r="AO36" s="82"/>
      <c r="AP36" s="82"/>
    </row>
    <row r="37" spans="1:42" ht="30" customHeight="1">
      <c r="A37" s="127"/>
      <c r="B37" s="125" t="s">
        <v>84</v>
      </c>
      <c r="C37" s="81">
        <f t="shared" si="9"/>
        <v>1286</v>
      </c>
      <c r="D37" s="81">
        <f t="shared" si="9"/>
        <v>9493</v>
      </c>
      <c r="E37" s="80">
        <v>26</v>
      </c>
      <c r="F37" s="80">
        <v>279</v>
      </c>
      <c r="G37" s="177">
        <f>K37+M37+O37+Q37+S37+U37+W37+Y37+AA37+AC37+AE37+AG37+AI37+AK37+AM37+AO37</f>
        <v>1260</v>
      </c>
      <c r="H37" s="177">
        <f>L37+N37+P37+R37+T37+V37+X37+Z37+AB37+AD37+AF37+AH37+AJ37+AL37+AN37+AP37</f>
        <v>9214</v>
      </c>
      <c r="I37" s="160" t="s">
        <v>15</v>
      </c>
      <c r="J37" s="160" t="s">
        <v>15</v>
      </c>
      <c r="K37" s="80">
        <v>238</v>
      </c>
      <c r="L37" s="80">
        <v>1278</v>
      </c>
      <c r="M37" s="80">
        <v>138</v>
      </c>
      <c r="N37" s="80">
        <v>2651</v>
      </c>
      <c r="O37" s="80">
        <v>4</v>
      </c>
      <c r="P37" s="80">
        <v>443</v>
      </c>
      <c r="Q37" s="80">
        <v>3</v>
      </c>
      <c r="R37" s="80">
        <v>6</v>
      </c>
      <c r="S37" s="80">
        <v>34</v>
      </c>
      <c r="T37" s="80">
        <v>331</v>
      </c>
      <c r="U37" s="80">
        <v>312</v>
      </c>
      <c r="V37" s="80">
        <v>1535</v>
      </c>
      <c r="W37" s="80">
        <v>10</v>
      </c>
      <c r="X37" s="80">
        <v>96</v>
      </c>
      <c r="Y37" s="80">
        <v>18</v>
      </c>
      <c r="Z37" s="80">
        <v>93</v>
      </c>
      <c r="AA37" s="80">
        <v>24</v>
      </c>
      <c r="AB37" s="80">
        <v>95</v>
      </c>
      <c r="AC37" s="80">
        <v>146</v>
      </c>
      <c r="AD37" s="80">
        <v>728</v>
      </c>
      <c r="AE37" s="80">
        <v>104</v>
      </c>
      <c r="AF37" s="80">
        <v>367</v>
      </c>
      <c r="AG37" s="80">
        <v>24</v>
      </c>
      <c r="AH37" s="80">
        <v>36</v>
      </c>
      <c r="AI37" s="80">
        <v>50</v>
      </c>
      <c r="AJ37" s="80">
        <v>720</v>
      </c>
      <c r="AK37" s="80">
        <v>28</v>
      </c>
      <c r="AL37" s="80">
        <v>192</v>
      </c>
      <c r="AM37" s="80">
        <v>127</v>
      </c>
      <c r="AN37" s="80">
        <v>643</v>
      </c>
      <c r="AO37" s="80"/>
      <c r="AP37" s="80"/>
    </row>
    <row r="38" spans="1:42" ht="30" customHeight="1">
      <c r="A38" s="127"/>
      <c r="B38" s="128" t="s">
        <v>203</v>
      </c>
      <c r="C38" s="81">
        <f t="shared" si="9"/>
        <v>582</v>
      </c>
      <c r="D38" s="81">
        <f t="shared" si="9"/>
        <v>4328</v>
      </c>
      <c r="E38" s="80">
        <v>19</v>
      </c>
      <c r="F38" s="80">
        <v>139</v>
      </c>
      <c r="G38" s="177">
        <f>I38+K38+M38+O38+Q38+S38+U38+W38+Y38+AA38+AC38+AE38+AG38+AI38+AK38+AM38+AO38</f>
        <v>563</v>
      </c>
      <c r="H38" s="177">
        <f>J38+L38+N38+P38+R38+T38+V38+X38+Z38+AB38+AD38+AF38+AH38+AJ38+AL38+AN38+AP38</f>
        <v>4189</v>
      </c>
      <c r="I38" s="80">
        <v>2</v>
      </c>
      <c r="J38" s="80">
        <v>15</v>
      </c>
      <c r="K38" s="80">
        <v>94</v>
      </c>
      <c r="L38" s="80">
        <v>573</v>
      </c>
      <c r="M38" s="80">
        <v>102</v>
      </c>
      <c r="N38" s="80">
        <v>1555</v>
      </c>
      <c r="O38" s="80">
        <v>1</v>
      </c>
      <c r="P38" s="80">
        <v>10</v>
      </c>
      <c r="Q38" s="80">
        <v>1</v>
      </c>
      <c r="R38" s="80">
        <v>1</v>
      </c>
      <c r="S38" s="80">
        <v>9</v>
      </c>
      <c r="T38" s="80">
        <v>145</v>
      </c>
      <c r="U38" s="80">
        <v>138</v>
      </c>
      <c r="V38" s="80">
        <v>726</v>
      </c>
      <c r="W38" s="80">
        <v>8</v>
      </c>
      <c r="X38" s="80">
        <v>41</v>
      </c>
      <c r="Y38" s="80">
        <v>2</v>
      </c>
      <c r="Z38" s="80">
        <v>18</v>
      </c>
      <c r="AA38" s="80">
        <v>3</v>
      </c>
      <c r="AB38" s="80">
        <v>6</v>
      </c>
      <c r="AC38" s="80">
        <v>45</v>
      </c>
      <c r="AD38" s="80">
        <v>270</v>
      </c>
      <c r="AE38" s="80">
        <v>57</v>
      </c>
      <c r="AF38" s="80">
        <v>238</v>
      </c>
      <c r="AG38" s="80">
        <v>7</v>
      </c>
      <c r="AH38" s="80">
        <v>8</v>
      </c>
      <c r="AI38" s="80">
        <v>25</v>
      </c>
      <c r="AJ38" s="80">
        <v>388</v>
      </c>
      <c r="AK38" s="80">
        <v>6</v>
      </c>
      <c r="AL38" s="80">
        <v>61</v>
      </c>
      <c r="AM38" s="80">
        <v>63</v>
      </c>
      <c r="AN38" s="80">
        <v>134</v>
      </c>
      <c r="AO38" s="80"/>
      <c r="AP38" s="80"/>
    </row>
    <row r="39" spans="1:42" ht="30" customHeight="1">
      <c r="A39" s="127"/>
      <c r="B39" s="125"/>
      <c r="C39" s="81"/>
      <c r="D39" s="81"/>
      <c r="E39" s="126"/>
      <c r="F39" s="126"/>
      <c r="G39" s="88"/>
      <c r="H39" s="88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</row>
    <row r="40" spans="1:42" ht="30" customHeight="1">
      <c r="A40" s="307" t="s">
        <v>85</v>
      </c>
      <c r="B40" s="277"/>
      <c r="C40" s="82">
        <f>E40+G40</f>
        <v>879</v>
      </c>
      <c r="D40" s="82">
        <f>F40+H40</f>
        <v>5197</v>
      </c>
      <c r="E40" s="82">
        <f>E41</f>
        <v>5</v>
      </c>
      <c r="F40" s="82">
        <f aca="true" t="shared" si="11" ref="F40:AN40">F41</f>
        <v>46</v>
      </c>
      <c r="G40" s="82">
        <f t="shared" si="11"/>
        <v>874</v>
      </c>
      <c r="H40" s="82">
        <f t="shared" si="11"/>
        <v>5151</v>
      </c>
      <c r="I40" s="82">
        <f t="shared" si="11"/>
        <v>1</v>
      </c>
      <c r="J40" s="82">
        <f t="shared" si="11"/>
        <v>7</v>
      </c>
      <c r="K40" s="82">
        <f t="shared" si="11"/>
        <v>109</v>
      </c>
      <c r="L40" s="82">
        <f t="shared" si="11"/>
        <v>400</v>
      </c>
      <c r="M40" s="82">
        <f t="shared" si="11"/>
        <v>220</v>
      </c>
      <c r="N40" s="82">
        <f t="shared" si="11"/>
        <v>1921</v>
      </c>
      <c r="O40" s="123" t="str">
        <f t="shared" si="11"/>
        <v>－</v>
      </c>
      <c r="P40" s="123" t="str">
        <f t="shared" si="11"/>
        <v>－</v>
      </c>
      <c r="Q40" s="82">
        <f t="shared" si="11"/>
        <v>2</v>
      </c>
      <c r="R40" s="82">
        <f t="shared" si="11"/>
        <v>6</v>
      </c>
      <c r="S40" s="82">
        <f t="shared" si="11"/>
        <v>24</v>
      </c>
      <c r="T40" s="82">
        <f t="shared" si="11"/>
        <v>284</v>
      </c>
      <c r="U40" s="82">
        <f t="shared" si="11"/>
        <v>215</v>
      </c>
      <c r="V40" s="82">
        <f t="shared" si="11"/>
        <v>1070</v>
      </c>
      <c r="W40" s="82">
        <f t="shared" si="11"/>
        <v>11</v>
      </c>
      <c r="X40" s="82">
        <f t="shared" si="11"/>
        <v>130</v>
      </c>
      <c r="Y40" s="82">
        <f t="shared" si="11"/>
        <v>9</v>
      </c>
      <c r="Z40" s="82">
        <f t="shared" si="11"/>
        <v>23</v>
      </c>
      <c r="AA40" s="82">
        <f t="shared" si="11"/>
        <v>14</v>
      </c>
      <c r="AB40" s="82">
        <f t="shared" si="11"/>
        <v>57</v>
      </c>
      <c r="AC40" s="82">
        <f t="shared" si="11"/>
        <v>67</v>
      </c>
      <c r="AD40" s="82">
        <f t="shared" si="11"/>
        <v>313</v>
      </c>
      <c r="AE40" s="82">
        <f t="shared" si="11"/>
        <v>78</v>
      </c>
      <c r="AF40" s="82">
        <f t="shared" si="11"/>
        <v>218</v>
      </c>
      <c r="AG40" s="82">
        <f t="shared" si="11"/>
        <v>14</v>
      </c>
      <c r="AH40" s="82">
        <f t="shared" si="11"/>
        <v>21</v>
      </c>
      <c r="AI40" s="82">
        <f t="shared" si="11"/>
        <v>36</v>
      </c>
      <c r="AJ40" s="82">
        <f t="shared" si="11"/>
        <v>465</v>
      </c>
      <c r="AK40" s="82">
        <f t="shared" si="11"/>
        <v>9</v>
      </c>
      <c r="AL40" s="82">
        <f t="shared" si="11"/>
        <v>82</v>
      </c>
      <c r="AM40" s="82">
        <f t="shared" si="11"/>
        <v>65</v>
      </c>
      <c r="AN40" s="82">
        <f t="shared" si="11"/>
        <v>154</v>
      </c>
      <c r="AO40" s="82"/>
      <c r="AP40" s="82"/>
    </row>
    <row r="41" spans="1:42" ht="30" customHeight="1">
      <c r="A41" s="124"/>
      <c r="B41" s="125" t="s">
        <v>9</v>
      </c>
      <c r="C41" s="81">
        <f>E41+G41</f>
        <v>879</v>
      </c>
      <c r="D41" s="81">
        <f>F41+H41</f>
        <v>5197</v>
      </c>
      <c r="E41" s="80">
        <v>5</v>
      </c>
      <c r="F41" s="80">
        <v>46</v>
      </c>
      <c r="G41" s="177">
        <f>I41+K41+M41+Q41+S41+U41+W41+Y41+AA41+AC41+AE41+AG41+AI41+AK41+AM41+AO41</f>
        <v>874</v>
      </c>
      <c r="H41" s="177">
        <f>J41+L41+N41+R41+T41+V41+X41+Z41+AB41+AD41+AF41+AH41+AJ41+AL41+AN41+AP41</f>
        <v>5151</v>
      </c>
      <c r="I41" s="80">
        <v>1</v>
      </c>
      <c r="J41" s="80">
        <v>7</v>
      </c>
      <c r="K41" s="80">
        <v>109</v>
      </c>
      <c r="L41" s="80">
        <v>400</v>
      </c>
      <c r="M41" s="80">
        <v>220</v>
      </c>
      <c r="N41" s="80">
        <v>1921</v>
      </c>
      <c r="O41" s="178" t="s">
        <v>15</v>
      </c>
      <c r="P41" s="178" t="s">
        <v>15</v>
      </c>
      <c r="Q41" s="80">
        <v>2</v>
      </c>
      <c r="R41" s="80">
        <v>6</v>
      </c>
      <c r="S41" s="80">
        <v>24</v>
      </c>
      <c r="T41" s="80">
        <v>284</v>
      </c>
      <c r="U41" s="80">
        <v>215</v>
      </c>
      <c r="V41" s="80">
        <v>1070</v>
      </c>
      <c r="W41" s="80">
        <v>11</v>
      </c>
      <c r="X41" s="80">
        <v>130</v>
      </c>
      <c r="Y41" s="80">
        <v>9</v>
      </c>
      <c r="Z41" s="80">
        <v>23</v>
      </c>
      <c r="AA41" s="80">
        <v>14</v>
      </c>
      <c r="AB41" s="80">
        <v>57</v>
      </c>
      <c r="AC41" s="80">
        <v>67</v>
      </c>
      <c r="AD41" s="80">
        <v>313</v>
      </c>
      <c r="AE41" s="80">
        <v>78</v>
      </c>
      <c r="AF41" s="80">
        <v>218</v>
      </c>
      <c r="AG41" s="80">
        <v>14</v>
      </c>
      <c r="AH41" s="80">
        <v>21</v>
      </c>
      <c r="AI41" s="80">
        <v>36</v>
      </c>
      <c r="AJ41" s="80">
        <v>465</v>
      </c>
      <c r="AK41" s="80">
        <v>9</v>
      </c>
      <c r="AL41" s="80">
        <v>82</v>
      </c>
      <c r="AM41" s="80">
        <v>65</v>
      </c>
      <c r="AN41" s="80">
        <v>154</v>
      </c>
      <c r="AO41" s="80"/>
      <c r="AP41" s="80"/>
    </row>
    <row r="42" spans="1:42" ht="30" customHeight="1">
      <c r="A42" s="124"/>
      <c r="B42" s="125"/>
      <c r="C42" s="81"/>
      <c r="D42" s="81"/>
      <c r="E42" s="126"/>
      <c r="F42" s="126"/>
      <c r="G42" s="88"/>
      <c r="H42" s="8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80"/>
      <c r="AH42" s="80"/>
      <c r="AI42" s="126"/>
      <c r="AJ42" s="126"/>
      <c r="AK42" s="80"/>
      <c r="AL42" s="80"/>
      <c r="AM42" s="126"/>
      <c r="AN42" s="126"/>
      <c r="AO42" s="126"/>
      <c r="AP42" s="126"/>
    </row>
    <row r="43" spans="1:230" ht="30" customHeight="1">
      <c r="A43" s="307" t="s">
        <v>10</v>
      </c>
      <c r="B43" s="277"/>
      <c r="C43" s="82">
        <f aca="true" t="shared" si="12" ref="C43:D45">E43+G43</f>
        <v>1939</v>
      </c>
      <c r="D43" s="82">
        <f t="shared" si="12"/>
        <v>11110</v>
      </c>
      <c r="E43" s="82">
        <f>E44+E45</f>
        <v>59</v>
      </c>
      <c r="F43" s="82">
        <f aca="true" t="shared" si="13" ref="F43:AN43">F44+F45</f>
        <v>921</v>
      </c>
      <c r="G43" s="82">
        <f t="shared" si="13"/>
        <v>1880</v>
      </c>
      <c r="H43" s="82">
        <f t="shared" si="13"/>
        <v>10189</v>
      </c>
      <c r="I43" s="82">
        <f>I45</f>
        <v>3</v>
      </c>
      <c r="J43" s="82">
        <f>J45</f>
        <v>18</v>
      </c>
      <c r="K43" s="82">
        <f t="shared" si="13"/>
        <v>250</v>
      </c>
      <c r="L43" s="82">
        <f t="shared" si="13"/>
        <v>1442</v>
      </c>
      <c r="M43" s="82">
        <f t="shared" si="13"/>
        <v>121</v>
      </c>
      <c r="N43" s="82">
        <f t="shared" si="13"/>
        <v>1370</v>
      </c>
      <c r="O43" s="123" t="s">
        <v>15</v>
      </c>
      <c r="P43" s="123" t="s">
        <v>15</v>
      </c>
      <c r="Q43" s="82">
        <f t="shared" si="13"/>
        <v>10</v>
      </c>
      <c r="R43" s="82">
        <f t="shared" si="13"/>
        <v>49</v>
      </c>
      <c r="S43" s="82">
        <f t="shared" si="13"/>
        <v>46</v>
      </c>
      <c r="T43" s="82">
        <f t="shared" si="13"/>
        <v>448</v>
      </c>
      <c r="U43" s="82">
        <f t="shared" si="13"/>
        <v>583</v>
      </c>
      <c r="V43" s="82">
        <f t="shared" si="13"/>
        <v>2446</v>
      </c>
      <c r="W43" s="82">
        <f t="shared" si="13"/>
        <v>27</v>
      </c>
      <c r="X43" s="82">
        <f t="shared" si="13"/>
        <v>302</v>
      </c>
      <c r="Y43" s="82">
        <f t="shared" si="13"/>
        <v>57</v>
      </c>
      <c r="Z43" s="82">
        <f t="shared" si="13"/>
        <v>110</v>
      </c>
      <c r="AA43" s="82">
        <f t="shared" si="13"/>
        <v>38</v>
      </c>
      <c r="AB43" s="82">
        <f t="shared" si="13"/>
        <v>169</v>
      </c>
      <c r="AC43" s="82">
        <f t="shared" si="13"/>
        <v>216</v>
      </c>
      <c r="AD43" s="82">
        <f t="shared" si="13"/>
        <v>868</v>
      </c>
      <c r="AE43" s="82">
        <f t="shared" si="13"/>
        <v>167</v>
      </c>
      <c r="AF43" s="82">
        <f t="shared" si="13"/>
        <v>423</v>
      </c>
      <c r="AG43" s="82">
        <f t="shared" si="13"/>
        <v>34</v>
      </c>
      <c r="AH43" s="82">
        <f t="shared" si="13"/>
        <v>110</v>
      </c>
      <c r="AI43" s="82">
        <f t="shared" si="13"/>
        <v>101</v>
      </c>
      <c r="AJ43" s="82">
        <f t="shared" si="13"/>
        <v>1324</v>
      </c>
      <c r="AK43" s="82">
        <f t="shared" si="13"/>
        <v>27</v>
      </c>
      <c r="AL43" s="82">
        <f t="shared" si="13"/>
        <v>308</v>
      </c>
      <c r="AM43" s="82">
        <f t="shared" si="13"/>
        <v>200</v>
      </c>
      <c r="AN43" s="82">
        <f t="shared" si="13"/>
        <v>802</v>
      </c>
      <c r="AO43" s="82"/>
      <c r="AP43" s="82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</row>
    <row r="44" spans="1:42" ht="30" customHeight="1">
      <c r="A44" s="124"/>
      <c r="B44" s="125" t="s">
        <v>86</v>
      </c>
      <c r="C44" s="81">
        <f t="shared" si="12"/>
        <v>659</v>
      </c>
      <c r="D44" s="81">
        <f t="shared" si="12"/>
        <v>4016</v>
      </c>
      <c r="E44" s="80">
        <v>15</v>
      </c>
      <c r="F44" s="80">
        <v>289</v>
      </c>
      <c r="G44" s="177">
        <f>K44+M44+Q44+S44+U44+W44+Y44+AA44+AC44+AE44+AG44+AI44+AK44+AM44+AO44</f>
        <v>644</v>
      </c>
      <c r="H44" s="177">
        <f>L44+N44+R44+T44+V44+X44+Z44+AB44+AD44+AF44+AH44+AJ44+AL44+AN44+AP44</f>
        <v>3727</v>
      </c>
      <c r="I44" s="178" t="s">
        <v>15</v>
      </c>
      <c r="J44" s="178" t="s">
        <v>15</v>
      </c>
      <c r="K44" s="80">
        <v>68</v>
      </c>
      <c r="L44" s="80">
        <v>440</v>
      </c>
      <c r="M44" s="80">
        <v>32</v>
      </c>
      <c r="N44" s="80">
        <v>390</v>
      </c>
      <c r="O44" s="178" t="s">
        <v>15</v>
      </c>
      <c r="P44" s="178" t="s">
        <v>15</v>
      </c>
      <c r="Q44" s="80">
        <v>5</v>
      </c>
      <c r="R44" s="80">
        <v>19</v>
      </c>
      <c r="S44" s="80">
        <v>17</v>
      </c>
      <c r="T44" s="80">
        <v>216</v>
      </c>
      <c r="U44" s="80">
        <v>192</v>
      </c>
      <c r="V44" s="80">
        <v>914</v>
      </c>
      <c r="W44" s="80">
        <v>8</v>
      </c>
      <c r="X44" s="80">
        <v>58</v>
      </c>
      <c r="Y44" s="80">
        <v>27</v>
      </c>
      <c r="Z44" s="80">
        <v>58</v>
      </c>
      <c r="AA44" s="80">
        <v>15</v>
      </c>
      <c r="AB44" s="80">
        <v>74</v>
      </c>
      <c r="AC44" s="80">
        <v>83</v>
      </c>
      <c r="AD44" s="80">
        <v>314</v>
      </c>
      <c r="AE44" s="80">
        <v>53</v>
      </c>
      <c r="AF44" s="80">
        <v>158</v>
      </c>
      <c r="AG44" s="80">
        <v>14</v>
      </c>
      <c r="AH44" s="80">
        <v>70</v>
      </c>
      <c r="AI44" s="80">
        <v>35</v>
      </c>
      <c r="AJ44" s="80">
        <v>447</v>
      </c>
      <c r="AK44" s="80">
        <v>12</v>
      </c>
      <c r="AL44" s="80">
        <v>175</v>
      </c>
      <c r="AM44" s="80">
        <v>83</v>
      </c>
      <c r="AN44" s="80">
        <v>394</v>
      </c>
      <c r="AO44" s="80"/>
      <c r="AP44" s="80"/>
    </row>
    <row r="45" spans="1:42" ht="30" customHeight="1">
      <c r="A45" s="124"/>
      <c r="B45" s="125" t="s">
        <v>204</v>
      </c>
      <c r="C45" s="81">
        <f t="shared" si="12"/>
        <v>1280</v>
      </c>
      <c r="D45" s="81">
        <f t="shared" si="12"/>
        <v>7094</v>
      </c>
      <c r="E45" s="80">
        <v>44</v>
      </c>
      <c r="F45" s="80">
        <v>632</v>
      </c>
      <c r="G45" s="177">
        <f>I45+K45+M45+Q45+S45+U45+W45+Y45+AA45+AC45+AE45+AG45+AI45+AK45+AM45+AO45</f>
        <v>1236</v>
      </c>
      <c r="H45" s="177">
        <f>J45+L45+N45+R45+T45+V45+X45+Z45+AB45+AD45+AF45+AH45+AJ45+AL45+AN45+AP45</f>
        <v>6462</v>
      </c>
      <c r="I45" s="80">
        <v>3</v>
      </c>
      <c r="J45" s="80">
        <v>18</v>
      </c>
      <c r="K45" s="80">
        <v>182</v>
      </c>
      <c r="L45" s="80">
        <v>1002</v>
      </c>
      <c r="M45" s="80">
        <v>89</v>
      </c>
      <c r="N45" s="80">
        <v>980</v>
      </c>
      <c r="O45" s="178" t="s">
        <v>15</v>
      </c>
      <c r="P45" s="178" t="s">
        <v>15</v>
      </c>
      <c r="Q45" s="80">
        <v>5</v>
      </c>
      <c r="R45" s="80">
        <v>30</v>
      </c>
      <c r="S45" s="80">
        <v>29</v>
      </c>
      <c r="T45" s="80">
        <v>232</v>
      </c>
      <c r="U45" s="80">
        <v>391</v>
      </c>
      <c r="V45" s="80">
        <v>1532</v>
      </c>
      <c r="W45" s="80">
        <v>19</v>
      </c>
      <c r="X45" s="80">
        <v>244</v>
      </c>
      <c r="Y45" s="80">
        <v>30</v>
      </c>
      <c r="Z45" s="80">
        <v>52</v>
      </c>
      <c r="AA45" s="80">
        <v>23</v>
      </c>
      <c r="AB45" s="80">
        <v>95</v>
      </c>
      <c r="AC45" s="80">
        <v>133</v>
      </c>
      <c r="AD45" s="80">
        <v>554</v>
      </c>
      <c r="AE45" s="80">
        <v>114</v>
      </c>
      <c r="AF45" s="80">
        <v>265</v>
      </c>
      <c r="AG45" s="80">
        <v>20</v>
      </c>
      <c r="AH45" s="80">
        <v>40</v>
      </c>
      <c r="AI45" s="80">
        <v>66</v>
      </c>
      <c r="AJ45" s="80">
        <v>877</v>
      </c>
      <c r="AK45" s="80">
        <v>15</v>
      </c>
      <c r="AL45" s="80">
        <v>133</v>
      </c>
      <c r="AM45" s="80">
        <v>117</v>
      </c>
      <c r="AN45" s="80">
        <v>408</v>
      </c>
      <c r="AO45" s="80"/>
      <c r="AP45" s="80"/>
    </row>
    <row r="46" spans="1:42" ht="30" customHeight="1">
      <c r="A46" s="129"/>
      <c r="B46" s="130"/>
      <c r="C46" s="93"/>
      <c r="D46" s="93"/>
      <c r="E46" s="141"/>
      <c r="F46" s="141"/>
      <c r="G46" s="93"/>
      <c r="H46" s="93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31"/>
      <c r="AH46" s="131"/>
      <c r="AI46" s="141"/>
      <c r="AJ46" s="141"/>
      <c r="AK46" s="131"/>
      <c r="AL46" s="131"/>
      <c r="AM46" s="141"/>
      <c r="AN46" s="141"/>
      <c r="AO46" s="126"/>
      <c r="AP46" s="126"/>
    </row>
    <row r="47" spans="1:42" ht="15.75" customHeight="1">
      <c r="A47" s="182" t="s">
        <v>148</v>
      </c>
      <c r="B47" s="133"/>
      <c r="C47" s="88"/>
      <c r="D47" s="88"/>
      <c r="E47" s="126"/>
      <c r="F47" s="126"/>
      <c r="G47" s="88"/>
      <c r="H47" s="88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80"/>
      <c r="AH47" s="80"/>
      <c r="AI47" s="126"/>
      <c r="AJ47" s="126"/>
      <c r="AK47" s="80"/>
      <c r="AL47" s="80"/>
      <c r="AM47" s="126"/>
      <c r="AN47" s="126"/>
      <c r="AO47" s="126"/>
      <c r="AP47" s="126"/>
    </row>
    <row r="48" spans="1:36" ht="24" customHeight="1">
      <c r="A48" s="182" t="s">
        <v>239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</row>
    <row r="49" spans="1:36" ht="15.75" customHeight="1">
      <c r="A49" s="124"/>
      <c r="B49" s="133"/>
      <c r="C49" s="80"/>
      <c r="D49" s="80"/>
      <c r="E49" s="126"/>
      <c r="F49" s="126"/>
      <c r="G49" s="80"/>
      <c r="H49" s="80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80"/>
      <c r="AB49" s="80"/>
      <c r="AC49" s="126"/>
      <c r="AD49" s="126"/>
      <c r="AE49" s="80"/>
      <c r="AF49" s="80"/>
      <c r="AG49" s="126"/>
      <c r="AH49" s="126"/>
      <c r="AI49" s="126"/>
      <c r="AJ49" s="126"/>
    </row>
    <row r="50" spans="1:36" ht="15" customHeight="1">
      <c r="A50" s="124"/>
      <c r="B50" s="133"/>
      <c r="C50" s="80"/>
      <c r="D50" s="80"/>
      <c r="E50" s="126"/>
      <c r="F50" s="126"/>
      <c r="G50" s="80"/>
      <c r="H50" s="80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80"/>
      <c r="AB50" s="80"/>
      <c r="AC50" s="126"/>
      <c r="AD50" s="126"/>
      <c r="AE50" s="80"/>
      <c r="AF50" s="80"/>
      <c r="AG50" s="126"/>
      <c r="AH50" s="126"/>
      <c r="AI50" s="126"/>
      <c r="AJ50" s="126"/>
    </row>
    <row r="51" spans="1:230" ht="15.75" customHeight="1">
      <c r="A51" s="307"/>
      <c r="B51" s="307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</row>
    <row r="52" spans="1:36" ht="15.75" customHeight="1">
      <c r="A52" s="127"/>
      <c r="B52" s="133"/>
      <c r="C52" s="80"/>
      <c r="D52" s="80"/>
      <c r="E52" s="126"/>
      <c r="F52" s="126"/>
      <c r="G52" s="80"/>
      <c r="H52" s="80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80"/>
      <c r="AB52" s="80"/>
      <c r="AC52" s="126"/>
      <c r="AD52" s="126"/>
      <c r="AE52" s="80"/>
      <c r="AF52" s="80"/>
      <c r="AG52" s="126"/>
      <c r="AH52" s="126"/>
      <c r="AI52" s="126"/>
      <c r="AJ52" s="126"/>
    </row>
    <row r="53" spans="1:36" ht="15.75" customHeight="1">
      <c r="A53" s="127"/>
      <c r="B53" s="133"/>
      <c r="C53" s="80"/>
      <c r="D53" s="80"/>
      <c r="E53" s="126"/>
      <c r="F53" s="126"/>
      <c r="G53" s="80"/>
      <c r="H53" s="80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80"/>
      <c r="AB53" s="80"/>
      <c r="AC53" s="126"/>
      <c r="AD53" s="126"/>
      <c r="AE53" s="80"/>
      <c r="AF53" s="80"/>
      <c r="AG53" s="126"/>
      <c r="AH53" s="126"/>
      <c r="AI53" s="126"/>
      <c r="AJ53" s="126"/>
    </row>
    <row r="54" spans="1:36" ht="15.75" customHeight="1">
      <c r="A54" s="127"/>
      <c r="B54" s="133"/>
      <c r="C54" s="80"/>
      <c r="D54" s="80"/>
      <c r="E54" s="126"/>
      <c r="F54" s="126"/>
      <c r="G54" s="80"/>
      <c r="H54" s="80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80"/>
      <c r="AB54" s="80"/>
      <c r="AC54" s="126"/>
      <c r="AD54" s="126"/>
      <c r="AE54" s="80"/>
      <c r="AF54" s="80"/>
      <c r="AG54" s="126"/>
      <c r="AH54" s="126"/>
      <c r="AI54" s="126"/>
      <c r="AJ54" s="126"/>
    </row>
    <row r="55" spans="1:36" ht="15.75" customHeight="1">
      <c r="A55" s="127"/>
      <c r="B55" s="133"/>
      <c r="C55" s="80"/>
      <c r="D55" s="80"/>
      <c r="E55" s="126"/>
      <c r="F55" s="126"/>
      <c r="G55" s="80"/>
      <c r="H55" s="80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80"/>
      <c r="AB55" s="80"/>
      <c r="AC55" s="126"/>
      <c r="AD55" s="126"/>
      <c r="AE55" s="80"/>
      <c r="AF55" s="80"/>
      <c r="AG55" s="126"/>
      <c r="AH55" s="126"/>
      <c r="AI55" s="126"/>
      <c r="AJ55" s="126"/>
    </row>
    <row r="56" spans="1:36" ht="15" customHeight="1">
      <c r="A56" s="127"/>
      <c r="B56" s="13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230" ht="15.75" customHeight="1">
      <c r="A57" s="307"/>
      <c r="B57" s="307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</row>
    <row r="58" spans="1:36" ht="15.75" customHeight="1">
      <c r="A58" s="124"/>
      <c r="B58" s="133"/>
      <c r="C58" s="80"/>
      <c r="D58" s="80"/>
      <c r="E58" s="126"/>
      <c r="F58" s="126"/>
      <c r="G58" s="80"/>
      <c r="H58" s="80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80"/>
      <c r="AB58" s="80"/>
      <c r="AC58" s="126"/>
      <c r="AD58" s="126"/>
      <c r="AE58" s="80"/>
      <c r="AF58" s="80"/>
      <c r="AG58" s="126"/>
      <c r="AH58" s="126"/>
      <c r="AI58" s="126"/>
      <c r="AJ58" s="126"/>
    </row>
    <row r="59" spans="1:36" ht="15.75" customHeight="1">
      <c r="A59" s="124"/>
      <c r="B59" s="133"/>
      <c r="C59" s="80"/>
      <c r="D59" s="80"/>
      <c r="E59" s="126"/>
      <c r="F59" s="126"/>
      <c r="G59" s="80"/>
      <c r="H59" s="80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80"/>
      <c r="AB59" s="80"/>
      <c r="AC59" s="126"/>
      <c r="AD59" s="126"/>
      <c r="AE59" s="80"/>
      <c r="AF59" s="80"/>
      <c r="AG59" s="126"/>
      <c r="AH59" s="126"/>
      <c r="AI59" s="126"/>
      <c r="AJ59" s="126"/>
    </row>
    <row r="60" spans="1:36" ht="15.75" customHeight="1">
      <c r="A60" s="124"/>
      <c r="B60" s="133"/>
      <c r="C60" s="80"/>
      <c r="D60" s="80"/>
      <c r="E60" s="126"/>
      <c r="F60" s="126"/>
      <c r="G60" s="80"/>
      <c r="H60" s="80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80"/>
      <c r="AB60" s="80"/>
      <c r="AC60" s="126"/>
      <c r="AD60" s="126"/>
      <c r="AE60" s="80"/>
      <c r="AF60" s="80"/>
      <c r="AG60" s="126"/>
      <c r="AH60" s="126"/>
      <c r="AI60" s="126"/>
      <c r="AJ60" s="126"/>
    </row>
    <row r="61" spans="1:36" ht="15.75" customHeight="1">
      <c r="A61" s="124"/>
      <c r="B61" s="133"/>
      <c r="C61" s="80"/>
      <c r="D61" s="80"/>
      <c r="E61" s="126"/>
      <c r="F61" s="126"/>
      <c r="G61" s="80"/>
      <c r="H61" s="80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80"/>
      <c r="AB61" s="80"/>
      <c r="AC61" s="126"/>
      <c r="AD61" s="126"/>
      <c r="AE61" s="80"/>
      <c r="AF61" s="80"/>
      <c r="AG61" s="126"/>
      <c r="AH61" s="126"/>
      <c r="AI61" s="126"/>
      <c r="AJ61" s="126"/>
    </row>
    <row r="62" spans="1:36" ht="15.75" customHeight="1">
      <c r="A62" s="124"/>
      <c r="B62" s="133"/>
      <c r="C62" s="80"/>
      <c r="D62" s="80"/>
      <c r="E62" s="126"/>
      <c r="F62" s="126"/>
      <c r="G62" s="80"/>
      <c r="H62" s="80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80"/>
      <c r="AB62" s="80"/>
      <c r="AC62" s="126"/>
      <c r="AD62" s="126"/>
      <c r="AE62" s="80"/>
      <c r="AF62" s="80"/>
      <c r="AG62" s="126"/>
      <c r="AH62" s="126"/>
      <c r="AI62" s="126"/>
      <c r="AJ62" s="126"/>
    </row>
    <row r="63" spans="1:36" ht="15.75" customHeight="1">
      <c r="A63" s="124"/>
      <c r="B63" s="133"/>
      <c r="C63" s="80"/>
      <c r="D63" s="80"/>
      <c r="E63" s="126"/>
      <c r="F63" s="126"/>
      <c r="G63" s="80"/>
      <c r="H63" s="80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80"/>
      <c r="AB63" s="80"/>
      <c r="AC63" s="126"/>
      <c r="AD63" s="126"/>
      <c r="AE63" s="80"/>
      <c r="AF63" s="80"/>
      <c r="AG63" s="126"/>
      <c r="AH63" s="126"/>
      <c r="AI63" s="126"/>
      <c r="AJ63" s="126"/>
    </row>
    <row r="64" spans="1:36" ht="15" customHeight="1">
      <c r="A64" s="124"/>
      <c r="B64" s="13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230" ht="15.75" customHeight="1">
      <c r="A65" s="307"/>
      <c r="B65" s="307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</row>
    <row r="66" spans="1:36" ht="15.75" customHeight="1">
      <c r="A66" s="124"/>
      <c r="B66" s="133"/>
      <c r="C66" s="80"/>
      <c r="D66" s="80"/>
      <c r="E66" s="126"/>
      <c r="F66" s="126"/>
      <c r="G66" s="80"/>
      <c r="H66" s="80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80"/>
      <c r="AB66" s="80"/>
      <c r="AC66" s="126"/>
      <c r="AD66" s="126"/>
      <c r="AE66" s="80"/>
      <c r="AF66" s="80"/>
      <c r="AG66" s="126"/>
      <c r="AH66" s="126"/>
      <c r="AI66" s="126"/>
      <c r="AJ66" s="126"/>
    </row>
    <row r="67" spans="1:36" ht="15.75" customHeight="1">
      <c r="A67" s="124"/>
      <c r="B67" s="133"/>
      <c r="C67" s="80"/>
      <c r="D67" s="80"/>
      <c r="E67" s="126"/>
      <c r="F67" s="126"/>
      <c r="G67" s="80"/>
      <c r="H67" s="80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80"/>
      <c r="AB67" s="80"/>
      <c r="AC67" s="126"/>
      <c r="AD67" s="126"/>
      <c r="AE67" s="80"/>
      <c r="AF67" s="80"/>
      <c r="AG67" s="126"/>
      <c r="AH67" s="126"/>
      <c r="AI67" s="126"/>
      <c r="AJ67" s="126"/>
    </row>
    <row r="68" spans="1:36" ht="15.75" customHeight="1">
      <c r="A68" s="124"/>
      <c r="B68" s="133"/>
      <c r="C68" s="80"/>
      <c r="D68" s="80"/>
      <c r="E68" s="126"/>
      <c r="F68" s="126"/>
      <c r="G68" s="80"/>
      <c r="H68" s="80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80"/>
      <c r="AB68" s="80"/>
      <c r="AC68" s="126"/>
      <c r="AD68" s="126"/>
      <c r="AE68" s="80"/>
      <c r="AF68" s="80"/>
      <c r="AG68" s="126"/>
      <c r="AH68" s="126"/>
      <c r="AI68" s="126"/>
      <c r="AJ68" s="126"/>
    </row>
    <row r="69" spans="1:36" ht="15.75" customHeight="1">
      <c r="A69" s="124"/>
      <c r="B69" s="133"/>
      <c r="C69" s="80"/>
      <c r="D69" s="80"/>
      <c r="E69" s="126"/>
      <c r="F69" s="126"/>
      <c r="G69" s="80"/>
      <c r="H69" s="80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80"/>
      <c r="AB69" s="80"/>
      <c r="AC69" s="126"/>
      <c r="AD69" s="126"/>
      <c r="AE69" s="80"/>
      <c r="AF69" s="80"/>
      <c r="AG69" s="126"/>
      <c r="AH69" s="126"/>
      <c r="AI69" s="126"/>
      <c r="AJ69" s="126"/>
    </row>
    <row r="70" spans="1:36" ht="15" customHeight="1">
      <c r="A70" s="124"/>
      <c r="B70" s="13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</row>
    <row r="71" spans="1:230" s="15" customFormat="1" ht="15.75" customHeight="1">
      <c r="A71" s="307"/>
      <c r="B71" s="307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</row>
    <row r="72" spans="1:40" ht="15.75" customHeight="1">
      <c r="A72" s="124"/>
      <c r="B72" s="133"/>
      <c r="C72" s="80"/>
      <c r="D72" s="80"/>
      <c r="E72" s="126"/>
      <c r="F72" s="126"/>
      <c r="G72" s="80"/>
      <c r="H72" s="80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80"/>
      <c r="AB72" s="80"/>
      <c r="AC72" s="126"/>
      <c r="AD72" s="126"/>
      <c r="AE72" s="80"/>
      <c r="AF72" s="80"/>
      <c r="AG72" s="126"/>
      <c r="AH72" s="126"/>
      <c r="AI72" s="126"/>
      <c r="AJ72" s="126"/>
      <c r="AK72" s="15"/>
      <c r="AL72" s="15"/>
      <c r="AM72" s="15"/>
      <c r="AN72" s="15"/>
    </row>
    <row r="73" spans="2:40" ht="15" customHeight="1">
      <c r="B73" s="15"/>
      <c r="E73" s="15"/>
      <c r="F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9:36" ht="15" customHeight="1"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G74" s="15"/>
      <c r="AH74" s="15"/>
      <c r="AI74" s="15"/>
      <c r="AJ74" s="15"/>
    </row>
  </sheetData>
  <sheetProtection/>
  <mergeCells count="84">
    <mergeCell ref="AJ7:AJ8"/>
    <mergeCell ref="AI5:AJ6"/>
    <mergeCell ref="AA7:AA8"/>
    <mergeCell ref="AB7:AB8"/>
    <mergeCell ref="AC7:AC8"/>
    <mergeCell ref="AD7:AD8"/>
    <mergeCell ref="AE7:AE8"/>
    <mergeCell ref="AF7:AF8"/>
    <mergeCell ref="AG7:AG8"/>
    <mergeCell ref="V7:V8"/>
    <mergeCell ref="R7:R8"/>
    <mergeCell ref="S7:S8"/>
    <mergeCell ref="AI7:AI8"/>
    <mergeCell ref="AC5:AD6"/>
    <mergeCell ref="AE5:AF6"/>
    <mergeCell ref="AG5:AH6"/>
    <mergeCell ref="AH7:AH8"/>
    <mergeCell ref="W5:X6"/>
    <mergeCell ref="M7:M8"/>
    <mergeCell ref="N7:N8"/>
    <mergeCell ref="AA5:AB6"/>
    <mergeCell ref="T7:T8"/>
    <mergeCell ref="U5:V6"/>
    <mergeCell ref="O7:O8"/>
    <mergeCell ref="P7:P8"/>
    <mergeCell ref="Q7:Q8"/>
    <mergeCell ref="U7:U8"/>
    <mergeCell ref="W7:W8"/>
    <mergeCell ref="X7:X8"/>
    <mergeCell ref="Y7:Y8"/>
    <mergeCell ref="Z7:Z8"/>
    <mergeCell ref="G7:G8"/>
    <mergeCell ref="H7:H8"/>
    <mergeCell ref="A12:B12"/>
    <mergeCell ref="A14:B14"/>
    <mergeCell ref="A71:B71"/>
    <mergeCell ref="A24:B24"/>
    <mergeCell ref="A43:B43"/>
    <mergeCell ref="A26:B26"/>
    <mergeCell ref="A29:B29"/>
    <mergeCell ref="A32:B32"/>
    <mergeCell ref="A40:B40"/>
    <mergeCell ref="A51:B51"/>
    <mergeCell ref="A57:B57"/>
    <mergeCell ref="A65:B65"/>
    <mergeCell ref="A21:B21"/>
    <mergeCell ref="A22:B22"/>
    <mergeCell ref="A23:B23"/>
    <mergeCell ref="A36:B36"/>
    <mergeCell ref="F7:F8"/>
    <mergeCell ref="C7:C8"/>
    <mergeCell ref="A19:B19"/>
    <mergeCell ref="A20:B20"/>
    <mergeCell ref="A5:B8"/>
    <mergeCell ref="C5:D6"/>
    <mergeCell ref="E5:F6"/>
    <mergeCell ref="A10:B10"/>
    <mergeCell ref="A11:B11"/>
    <mergeCell ref="I7:I8"/>
    <mergeCell ref="J7:J8"/>
    <mergeCell ref="I5:J6"/>
    <mergeCell ref="K5:L6"/>
    <mergeCell ref="K7:K8"/>
    <mergeCell ref="L7:L8"/>
    <mergeCell ref="D7:D8"/>
    <mergeCell ref="E7:E8"/>
    <mergeCell ref="A17:B17"/>
    <mergeCell ref="A18:B18"/>
    <mergeCell ref="A15:B15"/>
    <mergeCell ref="A16:B16"/>
    <mergeCell ref="AK7:AK8"/>
    <mergeCell ref="AL7:AL8"/>
    <mergeCell ref="AM7:AM8"/>
    <mergeCell ref="AN7:AN8"/>
    <mergeCell ref="A2:AN2"/>
    <mergeCell ref="A3:AN3"/>
    <mergeCell ref="AK5:AL6"/>
    <mergeCell ref="AM5:AN6"/>
    <mergeCell ref="Q5:R6"/>
    <mergeCell ref="S5:T6"/>
    <mergeCell ref="M5:N6"/>
    <mergeCell ref="O5:P6"/>
    <mergeCell ref="G5:H6"/>
    <mergeCell ref="Y5:Z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zoomScalePageLayoutView="0" workbookViewId="0" topLeftCell="E22">
      <selection activeCell="R33" sqref="R33"/>
    </sheetView>
  </sheetViews>
  <sheetFormatPr defaultColWidth="9.296875" defaultRowHeight="15"/>
  <cols>
    <col min="1" max="1" width="2.69921875" style="7" customWidth="1"/>
    <col min="2" max="2" width="9.69921875" style="7" customWidth="1"/>
    <col min="3" max="3" width="9.5" style="7" bestFit="1" customWidth="1"/>
    <col min="4" max="6" width="9.296875" style="7" customWidth="1"/>
    <col min="7" max="8" width="10.19921875" style="7" bestFit="1" customWidth="1"/>
    <col min="9" max="16384" width="9.296875" style="7" customWidth="1"/>
  </cols>
  <sheetData>
    <row r="1" spans="1:42" s="2" customFormat="1" ht="19.5" customHeight="1">
      <c r="A1" s="117" t="s">
        <v>35</v>
      </c>
      <c r="AL1" s="73"/>
      <c r="AP1" s="73" t="s">
        <v>36</v>
      </c>
    </row>
    <row r="2" spans="1:42" ht="18" customHeight="1">
      <c r="A2" s="286" t="s">
        <v>69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</row>
    <row r="3" spans="1:42" ht="18" customHeight="1">
      <c r="A3" s="287" t="s">
        <v>87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ht="1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20"/>
      <c r="AP4" s="120" t="s">
        <v>248</v>
      </c>
    </row>
    <row r="5" spans="1:42" ht="15" customHeight="1">
      <c r="A5" s="312" t="s">
        <v>178</v>
      </c>
      <c r="B5" s="313"/>
      <c r="C5" s="305" t="s">
        <v>227</v>
      </c>
      <c r="D5" s="302"/>
      <c r="E5" s="305" t="s">
        <v>228</v>
      </c>
      <c r="F5" s="302"/>
      <c r="G5" s="305" t="s">
        <v>229</v>
      </c>
      <c r="H5" s="302"/>
      <c r="I5" s="290" t="s">
        <v>225</v>
      </c>
      <c r="J5" s="291"/>
      <c r="K5" s="305" t="s">
        <v>230</v>
      </c>
      <c r="L5" s="302"/>
      <c r="M5" s="305" t="s">
        <v>231</v>
      </c>
      <c r="N5" s="302"/>
      <c r="O5" s="306" t="s">
        <v>22</v>
      </c>
      <c r="P5" s="291"/>
      <c r="Q5" s="305" t="s">
        <v>179</v>
      </c>
      <c r="R5" s="302"/>
      <c r="S5" s="301" t="s">
        <v>211</v>
      </c>
      <c r="T5" s="302"/>
      <c r="U5" s="305" t="s">
        <v>212</v>
      </c>
      <c r="V5" s="302"/>
      <c r="W5" s="305" t="s">
        <v>213</v>
      </c>
      <c r="X5" s="302"/>
      <c r="Y5" s="290" t="s">
        <v>29</v>
      </c>
      <c r="Z5" s="291"/>
      <c r="AA5" s="290" t="s">
        <v>226</v>
      </c>
      <c r="AB5" s="291"/>
      <c r="AC5" s="290" t="s">
        <v>143</v>
      </c>
      <c r="AD5" s="297"/>
      <c r="AE5" s="294" t="s">
        <v>144</v>
      </c>
      <c r="AF5" s="291"/>
      <c r="AG5" s="306" t="s">
        <v>214</v>
      </c>
      <c r="AH5" s="320"/>
      <c r="AI5" s="290" t="s">
        <v>90</v>
      </c>
      <c r="AJ5" s="320"/>
      <c r="AK5" s="306" t="s">
        <v>180</v>
      </c>
      <c r="AL5" s="319"/>
      <c r="AM5" s="306" t="s">
        <v>259</v>
      </c>
      <c r="AN5" s="319"/>
      <c r="AO5" s="306" t="s">
        <v>215</v>
      </c>
      <c r="AP5" s="319"/>
    </row>
    <row r="6" spans="1:42" ht="15" customHeight="1">
      <c r="A6" s="314"/>
      <c r="B6" s="315"/>
      <c r="C6" s="303"/>
      <c r="D6" s="304"/>
      <c r="E6" s="303"/>
      <c r="F6" s="304"/>
      <c r="G6" s="303"/>
      <c r="H6" s="304"/>
      <c r="I6" s="292"/>
      <c r="J6" s="293"/>
      <c r="K6" s="303"/>
      <c r="L6" s="304"/>
      <c r="M6" s="303"/>
      <c r="N6" s="304"/>
      <c r="O6" s="292"/>
      <c r="P6" s="293"/>
      <c r="Q6" s="303"/>
      <c r="R6" s="304"/>
      <c r="S6" s="303"/>
      <c r="T6" s="304"/>
      <c r="U6" s="303"/>
      <c r="V6" s="304"/>
      <c r="W6" s="303"/>
      <c r="X6" s="304"/>
      <c r="Y6" s="292"/>
      <c r="Z6" s="293"/>
      <c r="AA6" s="299"/>
      <c r="AB6" s="296"/>
      <c r="AC6" s="292"/>
      <c r="AD6" s="298"/>
      <c r="AE6" s="295"/>
      <c r="AF6" s="296"/>
      <c r="AG6" s="292"/>
      <c r="AH6" s="293"/>
      <c r="AI6" s="292"/>
      <c r="AJ6" s="293"/>
      <c r="AK6" s="292"/>
      <c r="AL6" s="298"/>
      <c r="AM6" s="292"/>
      <c r="AN6" s="298"/>
      <c r="AO6" s="292"/>
      <c r="AP6" s="298"/>
    </row>
    <row r="7" spans="1:42" ht="15" customHeight="1">
      <c r="A7" s="316"/>
      <c r="B7" s="315"/>
      <c r="C7" s="288" t="s">
        <v>8</v>
      </c>
      <c r="D7" s="288" t="s">
        <v>53</v>
      </c>
      <c r="E7" s="288" t="s">
        <v>8</v>
      </c>
      <c r="F7" s="288" t="s">
        <v>53</v>
      </c>
      <c r="G7" s="288" t="s">
        <v>8</v>
      </c>
      <c r="H7" s="288" t="s">
        <v>53</v>
      </c>
      <c r="I7" s="288" t="s">
        <v>8</v>
      </c>
      <c r="J7" s="288" t="s">
        <v>53</v>
      </c>
      <c r="K7" s="288" t="s">
        <v>8</v>
      </c>
      <c r="L7" s="288" t="s">
        <v>53</v>
      </c>
      <c r="M7" s="288" t="s">
        <v>8</v>
      </c>
      <c r="N7" s="288" t="s">
        <v>53</v>
      </c>
      <c r="O7" s="288" t="s">
        <v>8</v>
      </c>
      <c r="P7" s="288" t="s">
        <v>53</v>
      </c>
      <c r="Q7" s="288" t="s">
        <v>8</v>
      </c>
      <c r="R7" s="288" t="s">
        <v>53</v>
      </c>
      <c r="S7" s="288" t="s">
        <v>8</v>
      </c>
      <c r="T7" s="288" t="s">
        <v>53</v>
      </c>
      <c r="U7" s="288" t="s">
        <v>8</v>
      </c>
      <c r="V7" s="288" t="s">
        <v>53</v>
      </c>
      <c r="W7" s="288" t="s">
        <v>8</v>
      </c>
      <c r="X7" s="288" t="s">
        <v>53</v>
      </c>
      <c r="Y7" s="288" t="s">
        <v>8</v>
      </c>
      <c r="Z7" s="288" t="s">
        <v>53</v>
      </c>
      <c r="AA7" s="288" t="s">
        <v>8</v>
      </c>
      <c r="AB7" s="288" t="s">
        <v>53</v>
      </c>
      <c r="AC7" s="288" t="s">
        <v>8</v>
      </c>
      <c r="AD7" s="300" t="s">
        <v>53</v>
      </c>
      <c r="AE7" s="288" t="s">
        <v>8</v>
      </c>
      <c r="AF7" s="288" t="s">
        <v>53</v>
      </c>
      <c r="AG7" s="288" t="s">
        <v>8</v>
      </c>
      <c r="AH7" s="288" t="s">
        <v>53</v>
      </c>
      <c r="AI7" s="288" t="s">
        <v>8</v>
      </c>
      <c r="AJ7" s="288" t="s">
        <v>53</v>
      </c>
      <c r="AK7" s="288" t="s">
        <v>8</v>
      </c>
      <c r="AL7" s="288" t="s">
        <v>53</v>
      </c>
      <c r="AM7" s="288" t="s">
        <v>8</v>
      </c>
      <c r="AN7" s="300" t="s">
        <v>53</v>
      </c>
      <c r="AO7" s="288" t="s">
        <v>8</v>
      </c>
      <c r="AP7" s="300" t="s">
        <v>53</v>
      </c>
    </row>
    <row r="8" spans="1:42" ht="15" customHeight="1">
      <c r="A8" s="317"/>
      <c r="B8" s="31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2"/>
      <c r="AE8" s="289"/>
      <c r="AF8" s="289"/>
      <c r="AG8" s="289"/>
      <c r="AH8" s="289"/>
      <c r="AI8" s="289"/>
      <c r="AJ8" s="289"/>
      <c r="AK8" s="289"/>
      <c r="AL8" s="289"/>
      <c r="AM8" s="289"/>
      <c r="AN8" s="292"/>
      <c r="AO8" s="289"/>
      <c r="AP8" s="292"/>
    </row>
    <row r="9" spans="1:42" ht="30" customHeight="1">
      <c r="A9" s="121"/>
      <c r="B9" s="142"/>
      <c r="C9" s="121"/>
      <c r="D9" s="122"/>
      <c r="E9" s="121"/>
      <c r="F9" s="122"/>
      <c r="G9" s="121"/>
      <c r="H9" s="122"/>
      <c r="I9" s="121"/>
      <c r="J9" s="122"/>
      <c r="K9" s="121"/>
      <c r="L9" s="122"/>
      <c r="M9" s="121"/>
      <c r="N9" s="122"/>
      <c r="O9" s="121"/>
      <c r="P9" s="122"/>
      <c r="Q9" s="121"/>
      <c r="R9" s="122"/>
      <c r="S9" s="121"/>
      <c r="T9" s="122"/>
      <c r="U9" s="121"/>
      <c r="V9" s="122"/>
      <c r="W9" s="121"/>
      <c r="X9" s="122"/>
      <c r="Y9" s="121"/>
      <c r="Z9" s="122"/>
      <c r="AA9" s="122"/>
      <c r="AB9" s="122"/>
      <c r="AC9" s="121"/>
      <c r="AD9" s="122"/>
      <c r="AE9" s="122"/>
      <c r="AF9" s="122"/>
      <c r="AG9" s="137"/>
      <c r="AH9" s="122"/>
      <c r="AI9" s="137"/>
      <c r="AJ9" s="122"/>
      <c r="AK9" s="137"/>
      <c r="AL9" s="122"/>
      <c r="AM9" s="137"/>
      <c r="AN9" s="122"/>
      <c r="AO9" s="137"/>
      <c r="AP9" s="122"/>
    </row>
    <row r="10" spans="1:42" ht="30" customHeight="1">
      <c r="A10" s="308" t="s">
        <v>145</v>
      </c>
      <c r="B10" s="234"/>
      <c r="C10" s="88">
        <f>E10+G10</f>
        <v>2285</v>
      </c>
      <c r="D10" s="88">
        <f>F10+H10</f>
        <v>46528</v>
      </c>
      <c r="E10" s="88">
        <f>6+2</f>
        <v>8</v>
      </c>
      <c r="F10" s="88">
        <f>42+10</f>
        <v>52</v>
      </c>
      <c r="G10" s="177">
        <f>M10+O10+Q10+S10+U10+Y10+AC10+AG10+AI10+AM10+AO10</f>
        <v>2277</v>
      </c>
      <c r="H10" s="177">
        <f>P10+R10+T10+V10+Z10+AD10+AH10+AJ10+AN10+AP10</f>
        <v>46476</v>
      </c>
      <c r="I10" s="178" t="s">
        <v>15</v>
      </c>
      <c r="J10" s="178" t="s">
        <v>15</v>
      </c>
      <c r="K10" s="178" t="s">
        <v>15</v>
      </c>
      <c r="L10" s="178" t="s">
        <v>15</v>
      </c>
      <c r="M10" s="88">
        <v>1</v>
      </c>
      <c r="N10" s="178" t="s">
        <v>15</v>
      </c>
      <c r="O10" s="88">
        <v>59</v>
      </c>
      <c r="P10" s="88">
        <v>903</v>
      </c>
      <c r="Q10" s="88">
        <v>2</v>
      </c>
      <c r="R10" s="88">
        <v>7</v>
      </c>
      <c r="S10" s="88">
        <v>11</v>
      </c>
      <c r="T10" s="88">
        <v>75</v>
      </c>
      <c r="U10" s="88">
        <v>30</v>
      </c>
      <c r="V10" s="88">
        <v>330</v>
      </c>
      <c r="W10" s="178" t="s">
        <v>15</v>
      </c>
      <c r="X10" s="178" t="s">
        <v>15</v>
      </c>
      <c r="Y10" s="88">
        <v>18</v>
      </c>
      <c r="Z10" s="88">
        <v>51</v>
      </c>
      <c r="AA10" s="178" t="s">
        <v>15</v>
      </c>
      <c r="AB10" s="178" t="s">
        <v>15</v>
      </c>
      <c r="AC10" s="88">
        <v>19</v>
      </c>
      <c r="AD10" s="88">
        <v>78</v>
      </c>
      <c r="AE10" s="178" t="s">
        <v>15</v>
      </c>
      <c r="AF10" s="178" t="s">
        <v>15</v>
      </c>
      <c r="AG10" s="80">
        <v>746</v>
      </c>
      <c r="AH10" s="80">
        <v>13876</v>
      </c>
      <c r="AI10" s="80">
        <v>475</v>
      </c>
      <c r="AJ10" s="80">
        <v>9977</v>
      </c>
      <c r="AK10" s="178" t="s">
        <v>15</v>
      </c>
      <c r="AL10" s="178" t="s">
        <v>15</v>
      </c>
      <c r="AM10" s="80">
        <v>332</v>
      </c>
      <c r="AN10" s="80">
        <v>2868</v>
      </c>
      <c r="AO10" s="80">
        <v>584</v>
      </c>
      <c r="AP10" s="80">
        <v>18311</v>
      </c>
    </row>
    <row r="11" spans="1:42" s="66" customFormat="1" ht="30" customHeight="1">
      <c r="A11" s="309" t="s">
        <v>146</v>
      </c>
      <c r="B11" s="310"/>
      <c r="C11" s="82">
        <f>C14</f>
        <v>1945</v>
      </c>
      <c r="D11" s="82">
        <f aca="true" t="shared" si="0" ref="D11:AP11">D14</f>
        <v>45873</v>
      </c>
      <c r="E11" s="82">
        <f t="shared" si="0"/>
        <v>6</v>
      </c>
      <c r="F11" s="82">
        <f t="shared" si="0"/>
        <v>47</v>
      </c>
      <c r="G11" s="82">
        <f t="shared" si="0"/>
        <v>1939</v>
      </c>
      <c r="H11" s="82">
        <f t="shared" si="0"/>
        <v>45826</v>
      </c>
      <c r="I11" s="123" t="str">
        <f t="shared" si="0"/>
        <v>－</v>
      </c>
      <c r="J11" s="123" t="str">
        <f t="shared" si="0"/>
        <v>－</v>
      </c>
      <c r="K11" s="123" t="str">
        <f t="shared" si="0"/>
        <v>－</v>
      </c>
      <c r="L11" s="123" t="str">
        <f t="shared" si="0"/>
        <v>－</v>
      </c>
      <c r="M11" s="123" t="str">
        <f t="shared" si="0"/>
        <v>－</v>
      </c>
      <c r="N11" s="123" t="str">
        <f t="shared" si="0"/>
        <v>－</v>
      </c>
      <c r="O11" s="82">
        <f t="shared" si="0"/>
        <v>44</v>
      </c>
      <c r="P11" s="82">
        <f t="shared" si="0"/>
        <v>858</v>
      </c>
      <c r="Q11" s="82">
        <f t="shared" si="0"/>
        <v>2</v>
      </c>
      <c r="R11" s="82">
        <f t="shared" si="0"/>
        <v>10</v>
      </c>
      <c r="S11" s="82">
        <f t="shared" si="0"/>
        <v>7</v>
      </c>
      <c r="T11" s="82">
        <f t="shared" si="0"/>
        <v>70</v>
      </c>
      <c r="U11" s="82">
        <f t="shared" si="0"/>
        <v>1</v>
      </c>
      <c r="V11" s="82">
        <f t="shared" si="0"/>
        <v>6</v>
      </c>
      <c r="W11" s="123" t="str">
        <f t="shared" si="0"/>
        <v>－</v>
      </c>
      <c r="X11" s="123" t="str">
        <f t="shared" si="0"/>
        <v>－</v>
      </c>
      <c r="Y11" s="82">
        <f t="shared" si="0"/>
        <v>8</v>
      </c>
      <c r="Z11" s="82">
        <f t="shared" si="0"/>
        <v>36</v>
      </c>
      <c r="AA11" s="82">
        <f t="shared" si="0"/>
        <v>55</v>
      </c>
      <c r="AB11" s="82">
        <f t="shared" si="0"/>
        <v>1381</v>
      </c>
      <c r="AC11" s="82">
        <f t="shared" si="0"/>
        <v>31</v>
      </c>
      <c r="AD11" s="82">
        <f t="shared" si="0"/>
        <v>309</v>
      </c>
      <c r="AE11" s="82">
        <f t="shared" si="0"/>
        <v>54</v>
      </c>
      <c r="AF11" s="82">
        <f t="shared" si="0"/>
        <v>375</v>
      </c>
      <c r="AG11" s="82">
        <f t="shared" si="0"/>
        <v>708</v>
      </c>
      <c r="AH11" s="82">
        <f t="shared" si="0"/>
        <v>13605</v>
      </c>
      <c r="AI11" s="82">
        <f t="shared" si="0"/>
        <v>388</v>
      </c>
      <c r="AJ11" s="82">
        <f t="shared" si="0"/>
        <v>10080</v>
      </c>
      <c r="AK11" s="123" t="str">
        <f t="shared" si="0"/>
        <v>－</v>
      </c>
      <c r="AL11" s="123" t="str">
        <f t="shared" si="0"/>
        <v>－</v>
      </c>
      <c r="AM11" s="82">
        <f t="shared" si="0"/>
        <v>78</v>
      </c>
      <c r="AN11" s="82">
        <f t="shared" si="0"/>
        <v>855</v>
      </c>
      <c r="AO11" s="82">
        <f t="shared" si="0"/>
        <v>563</v>
      </c>
      <c r="AP11" s="82">
        <f t="shared" si="0"/>
        <v>18241</v>
      </c>
    </row>
    <row r="12" spans="1:42" s="69" customFormat="1" ht="30" customHeight="1">
      <c r="A12" s="311" t="s">
        <v>200</v>
      </c>
      <c r="B12" s="234"/>
      <c r="C12" s="143">
        <f>(C11-C10)/C10*100</f>
        <v>-14.87964989059081</v>
      </c>
      <c r="D12" s="143">
        <f aca="true" t="shared" si="1" ref="D12:AP12">(D11-D10)/D10*100</f>
        <v>-1.40775447042641</v>
      </c>
      <c r="E12" s="143">
        <f t="shared" si="1"/>
        <v>-25</v>
      </c>
      <c r="F12" s="143">
        <f t="shared" si="1"/>
        <v>-9.615384615384617</v>
      </c>
      <c r="G12" s="143">
        <f t="shared" si="1"/>
        <v>-14.844093104962669</v>
      </c>
      <c r="H12" s="143">
        <f t="shared" si="1"/>
        <v>-1.398571305620105</v>
      </c>
      <c r="I12" s="150" t="s">
        <v>241</v>
      </c>
      <c r="J12" s="150" t="s">
        <v>241</v>
      </c>
      <c r="K12" s="150" t="s">
        <v>241</v>
      </c>
      <c r="L12" s="150" t="s">
        <v>241</v>
      </c>
      <c r="M12" s="150" t="s">
        <v>241</v>
      </c>
      <c r="N12" s="150" t="s">
        <v>241</v>
      </c>
      <c r="O12" s="143">
        <f t="shared" si="1"/>
        <v>-25.423728813559322</v>
      </c>
      <c r="P12" s="143">
        <f t="shared" si="1"/>
        <v>-4.983388704318937</v>
      </c>
      <c r="Q12" s="143">
        <f t="shared" si="1"/>
        <v>0</v>
      </c>
      <c r="R12" s="143">
        <f t="shared" si="1"/>
        <v>42.857142857142854</v>
      </c>
      <c r="S12" s="143">
        <f t="shared" si="1"/>
        <v>-36.36363636363637</v>
      </c>
      <c r="T12" s="143">
        <f t="shared" si="1"/>
        <v>-6.666666666666667</v>
      </c>
      <c r="U12" s="143">
        <f t="shared" si="1"/>
        <v>-96.66666666666667</v>
      </c>
      <c r="V12" s="143">
        <f t="shared" si="1"/>
        <v>-98.18181818181819</v>
      </c>
      <c r="W12" s="150" t="s">
        <v>241</v>
      </c>
      <c r="X12" s="150" t="s">
        <v>241</v>
      </c>
      <c r="Y12" s="143">
        <f t="shared" si="1"/>
        <v>-55.55555555555556</v>
      </c>
      <c r="Z12" s="143">
        <f t="shared" si="1"/>
        <v>-29.411764705882355</v>
      </c>
      <c r="AA12" s="150" t="s">
        <v>241</v>
      </c>
      <c r="AB12" s="150" t="s">
        <v>241</v>
      </c>
      <c r="AC12" s="143">
        <f t="shared" si="1"/>
        <v>63.1578947368421</v>
      </c>
      <c r="AD12" s="143">
        <f t="shared" si="1"/>
        <v>296.1538461538462</v>
      </c>
      <c r="AE12" s="150" t="s">
        <v>241</v>
      </c>
      <c r="AF12" s="150" t="s">
        <v>241</v>
      </c>
      <c r="AG12" s="143">
        <f t="shared" si="1"/>
        <v>-5.093833780160858</v>
      </c>
      <c r="AH12" s="143">
        <f t="shared" si="1"/>
        <v>-1.9530123955030267</v>
      </c>
      <c r="AI12" s="143">
        <f t="shared" si="1"/>
        <v>-18.31578947368421</v>
      </c>
      <c r="AJ12" s="143">
        <f t="shared" si="1"/>
        <v>1.0323744612609</v>
      </c>
      <c r="AK12" s="150" t="s">
        <v>241</v>
      </c>
      <c r="AL12" s="150" t="s">
        <v>241</v>
      </c>
      <c r="AM12" s="143">
        <f t="shared" si="1"/>
        <v>-76.50602409638554</v>
      </c>
      <c r="AN12" s="143">
        <f t="shared" si="1"/>
        <v>-70.18828451882845</v>
      </c>
      <c r="AO12" s="143">
        <f t="shared" si="1"/>
        <v>-3.595890410958904</v>
      </c>
      <c r="AP12" s="143">
        <f t="shared" si="1"/>
        <v>-0.38228387308175416</v>
      </c>
    </row>
    <row r="13" spans="1:42" ht="30" customHeight="1">
      <c r="A13" s="127"/>
      <c r="B13" s="136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</row>
    <row r="14" spans="1:42" s="66" customFormat="1" ht="30" customHeight="1">
      <c r="A14" s="307" t="s">
        <v>37</v>
      </c>
      <c r="B14" s="277"/>
      <c r="C14" s="82">
        <f>'026'!C14-'028'!C14</f>
        <v>1945</v>
      </c>
      <c r="D14" s="82">
        <f>'026'!D14-'028'!D14</f>
        <v>45873</v>
      </c>
      <c r="E14" s="82">
        <f>'026'!E14-'028'!E14</f>
        <v>6</v>
      </c>
      <c r="F14" s="82">
        <f>'026'!F14-'028'!F14</f>
        <v>47</v>
      </c>
      <c r="G14" s="82">
        <f>'026'!G14-'028'!G14</f>
        <v>1939</v>
      </c>
      <c r="H14" s="82">
        <f>'026'!H14-'028'!H14</f>
        <v>45826</v>
      </c>
      <c r="I14" s="123" t="s">
        <v>15</v>
      </c>
      <c r="J14" s="123" t="s">
        <v>15</v>
      </c>
      <c r="K14" s="123" t="s">
        <v>15</v>
      </c>
      <c r="L14" s="123" t="s">
        <v>15</v>
      </c>
      <c r="M14" s="123" t="s">
        <v>15</v>
      </c>
      <c r="N14" s="123" t="s">
        <v>15</v>
      </c>
      <c r="O14" s="82">
        <f>'026'!O14-'028'!O14</f>
        <v>44</v>
      </c>
      <c r="P14" s="82">
        <f>'026'!P14-'028'!P14</f>
        <v>858</v>
      </c>
      <c r="Q14" s="82">
        <f>'026'!Q14-'028'!Q14</f>
        <v>2</v>
      </c>
      <c r="R14" s="82">
        <f>'026'!R14-'028'!R14</f>
        <v>10</v>
      </c>
      <c r="S14" s="82">
        <f>'026'!S14-'028'!S14</f>
        <v>7</v>
      </c>
      <c r="T14" s="82">
        <f>'026'!T14-'028'!T14</f>
        <v>70</v>
      </c>
      <c r="U14" s="82">
        <f>'026'!U14-'028'!U14</f>
        <v>1</v>
      </c>
      <c r="V14" s="82">
        <f>'026'!V14-'028'!V14</f>
        <v>6</v>
      </c>
      <c r="W14" s="123" t="s">
        <v>15</v>
      </c>
      <c r="X14" s="123" t="s">
        <v>15</v>
      </c>
      <c r="Y14" s="82">
        <f>'026'!Y14-'028'!Y14</f>
        <v>8</v>
      </c>
      <c r="Z14" s="82">
        <f>'026'!Z14-'028'!Z14</f>
        <v>36</v>
      </c>
      <c r="AA14" s="82">
        <f>'026'!AA14-'028'!AA14</f>
        <v>55</v>
      </c>
      <c r="AB14" s="82">
        <f>'026'!AB14-'028'!AB14</f>
        <v>1381</v>
      </c>
      <c r="AC14" s="82">
        <f>'026'!AC14-'028'!AC14</f>
        <v>31</v>
      </c>
      <c r="AD14" s="82">
        <f>'026'!AD14-'028'!AD14</f>
        <v>309</v>
      </c>
      <c r="AE14" s="82">
        <f>'026'!AE14-'028'!AE14</f>
        <v>54</v>
      </c>
      <c r="AF14" s="82">
        <f>'026'!AF14-'028'!AF14</f>
        <v>375</v>
      </c>
      <c r="AG14" s="82">
        <f>'026'!AG14-'028'!AG14</f>
        <v>708</v>
      </c>
      <c r="AH14" s="82">
        <f>'026'!AH14-'028'!AH14</f>
        <v>13605</v>
      </c>
      <c r="AI14" s="82">
        <f>'026'!AI14-'028'!AI14</f>
        <v>388</v>
      </c>
      <c r="AJ14" s="82">
        <f>'026'!AJ14-'028'!AJ14</f>
        <v>10080</v>
      </c>
      <c r="AK14" s="123" t="s">
        <v>15</v>
      </c>
      <c r="AL14" s="123" t="s">
        <v>15</v>
      </c>
      <c r="AM14" s="82">
        <f>'026'!AM14-'028'!AM14</f>
        <v>78</v>
      </c>
      <c r="AN14" s="82">
        <f>'026'!AN14-'028'!AN14</f>
        <v>855</v>
      </c>
      <c r="AO14" s="82">
        <f>'026'!AO14-'028'!AO14</f>
        <v>563</v>
      </c>
      <c r="AP14" s="82">
        <f>'026'!AP14-'028'!AP14</f>
        <v>18241</v>
      </c>
    </row>
    <row r="15" spans="1:42" s="66" customFormat="1" ht="30" customHeight="1">
      <c r="A15" s="307" t="s">
        <v>38</v>
      </c>
      <c r="B15" s="277"/>
      <c r="C15" s="82">
        <f>'026'!C15-'028'!C15</f>
        <v>427</v>
      </c>
      <c r="D15" s="82">
        <f>'026'!D15-'028'!D15</f>
        <v>17570</v>
      </c>
      <c r="E15" s="82">
        <f>'026'!E15-'028'!E15</f>
        <v>2</v>
      </c>
      <c r="F15" s="82">
        <f>'026'!F15-'028'!F15</f>
        <v>17</v>
      </c>
      <c r="G15" s="82">
        <f>'026'!G15-'028'!G15</f>
        <v>425</v>
      </c>
      <c r="H15" s="82">
        <f>'026'!H15-'028'!H15</f>
        <v>17553</v>
      </c>
      <c r="I15" s="123" t="s">
        <v>15</v>
      </c>
      <c r="J15" s="123" t="s">
        <v>15</v>
      </c>
      <c r="K15" s="123" t="s">
        <v>15</v>
      </c>
      <c r="L15" s="123" t="s">
        <v>15</v>
      </c>
      <c r="M15" s="123" t="s">
        <v>15</v>
      </c>
      <c r="N15" s="123" t="s">
        <v>15</v>
      </c>
      <c r="O15" s="82">
        <f>'026'!O15-'028'!O15</f>
        <v>12</v>
      </c>
      <c r="P15" s="82">
        <f>'026'!P15-'028'!P15</f>
        <v>435</v>
      </c>
      <c r="Q15" s="123" t="s">
        <v>15</v>
      </c>
      <c r="R15" s="123" t="s">
        <v>15</v>
      </c>
      <c r="S15" s="82">
        <f>'026'!S15-'028'!S15</f>
        <v>1</v>
      </c>
      <c r="T15" s="82">
        <f>'026'!T15-'028'!T15</f>
        <v>27</v>
      </c>
      <c r="U15" s="123" t="s">
        <v>15</v>
      </c>
      <c r="V15" s="123" t="s">
        <v>15</v>
      </c>
      <c r="W15" s="123" t="s">
        <v>15</v>
      </c>
      <c r="X15" s="123" t="s">
        <v>15</v>
      </c>
      <c r="Y15" s="82">
        <f>'026'!Y15-'028'!Y15</f>
        <v>7</v>
      </c>
      <c r="Z15" s="82">
        <f>'026'!Z15-'028'!Z15</f>
        <v>29</v>
      </c>
      <c r="AA15" s="82">
        <f>'026'!AA15-'028'!AA15</f>
        <v>20</v>
      </c>
      <c r="AB15" s="82">
        <f>'026'!AB15-'028'!AB15</f>
        <v>707</v>
      </c>
      <c r="AC15" s="82">
        <f>'026'!AC15-'028'!AC15</f>
        <v>15</v>
      </c>
      <c r="AD15" s="82">
        <f>'026'!AD15-'028'!AD15</f>
        <v>150</v>
      </c>
      <c r="AE15" s="82">
        <f>'026'!AE15-'028'!AE15</f>
        <v>10</v>
      </c>
      <c r="AF15" s="82">
        <f>'026'!AF15-'028'!AF15</f>
        <v>214</v>
      </c>
      <c r="AG15" s="82">
        <f>'026'!AG15-'028'!AG15</f>
        <v>155</v>
      </c>
      <c r="AH15" s="82">
        <f>'026'!AH15-'028'!AH15</f>
        <v>4579</v>
      </c>
      <c r="AI15" s="82">
        <f>'026'!AI15-'028'!AI15</f>
        <v>36</v>
      </c>
      <c r="AJ15" s="82">
        <f>'026'!AJ15-'028'!AJ15</f>
        <v>2108</v>
      </c>
      <c r="AK15" s="123" t="s">
        <v>15</v>
      </c>
      <c r="AL15" s="123" t="s">
        <v>15</v>
      </c>
      <c r="AM15" s="82">
        <f>'026'!AM15-'028'!AM15</f>
        <v>26</v>
      </c>
      <c r="AN15" s="82">
        <f>'026'!AN15-'028'!AN15</f>
        <v>483</v>
      </c>
      <c r="AO15" s="82">
        <f>'026'!AO15-'028'!AO15</f>
        <v>143</v>
      </c>
      <c r="AP15" s="82">
        <f>'026'!AP15-'028'!AP15</f>
        <v>8821</v>
      </c>
    </row>
    <row r="16" spans="1:42" s="66" customFormat="1" ht="30" customHeight="1">
      <c r="A16" s="307" t="s">
        <v>39</v>
      </c>
      <c r="B16" s="277"/>
      <c r="C16" s="82">
        <f>'026'!C16-'028'!C16</f>
        <v>155</v>
      </c>
      <c r="D16" s="82">
        <f>'026'!D16-'028'!D16</f>
        <v>2914</v>
      </c>
      <c r="E16" s="123" t="s">
        <v>15</v>
      </c>
      <c r="F16" s="123" t="s">
        <v>15</v>
      </c>
      <c r="G16" s="82">
        <f>'026'!G16-'028'!G16</f>
        <v>155</v>
      </c>
      <c r="H16" s="82">
        <f>'026'!H16-'028'!H16</f>
        <v>2914</v>
      </c>
      <c r="I16" s="123" t="s">
        <v>15</v>
      </c>
      <c r="J16" s="123" t="s">
        <v>15</v>
      </c>
      <c r="K16" s="123" t="s">
        <v>15</v>
      </c>
      <c r="L16" s="123" t="s">
        <v>15</v>
      </c>
      <c r="M16" s="123" t="s">
        <v>15</v>
      </c>
      <c r="N16" s="123" t="s">
        <v>15</v>
      </c>
      <c r="O16" s="82">
        <f>'026'!O16-'028'!O16</f>
        <v>1</v>
      </c>
      <c r="P16" s="82">
        <f>'026'!P16-'028'!P16</f>
        <v>47</v>
      </c>
      <c r="Q16" s="123" t="s">
        <v>15</v>
      </c>
      <c r="R16" s="123" t="s">
        <v>15</v>
      </c>
      <c r="S16" s="82">
        <f>'026'!S16-'028'!S16</f>
        <v>1</v>
      </c>
      <c r="T16" s="82">
        <f>'026'!T16-'028'!T16</f>
        <v>21</v>
      </c>
      <c r="U16" s="123" t="s">
        <v>15</v>
      </c>
      <c r="V16" s="123" t="s">
        <v>15</v>
      </c>
      <c r="W16" s="123" t="s">
        <v>15</v>
      </c>
      <c r="X16" s="123" t="s">
        <v>15</v>
      </c>
      <c r="Y16" s="123" t="s">
        <v>15</v>
      </c>
      <c r="Z16" s="123" t="s">
        <v>15</v>
      </c>
      <c r="AA16" s="82">
        <f>'026'!AA16-'028'!AA16</f>
        <v>5</v>
      </c>
      <c r="AB16" s="82">
        <f>'026'!AB16-'028'!AB16</f>
        <v>87</v>
      </c>
      <c r="AC16" s="82">
        <f>'026'!AC16-'028'!AC16</f>
        <v>2</v>
      </c>
      <c r="AD16" s="82">
        <f>'026'!AD16-'028'!AD16</f>
        <v>8</v>
      </c>
      <c r="AE16" s="82">
        <f>'026'!AE16-'028'!AE16</f>
        <v>2</v>
      </c>
      <c r="AF16" s="82">
        <f>'026'!AF16-'028'!AF16</f>
        <v>5</v>
      </c>
      <c r="AG16" s="82">
        <f>'026'!AG16-'028'!AG16</f>
        <v>62</v>
      </c>
      <c r="AH16" s="82">
        <f>'026'!AH16-'028'!AH16</f>
        <v>884</v>
      </c>
      <c r="AI16" s="82">
        <f>'026'!AI16-'028'!AI16</f>
        <v>18</v>
      </c>
      <c r="AJ16" s="82">
        <f>'026'!AJ16-'028'!AJ16</f>
        <v>813</v>
      </c>
      <c r="AK16" s="123" t="s">
        <v>15</v>
      </c>
      <c r="AL16" s="123" t="s">
        <v>15</v>
      </c>
      <c r="AM16" s="82">
        <f>'026'!AM16-'028'!AM16</f>
        <v>6</v>
      </c>
      <c r="AN16" s="82">
        <f>'026'!AN16-'028'!AN16</f>
        <v>57</v>
      </c>
      <c r="AO16" s="82">
        <f>'026'!AO16-'028'!AO16</f>
        <v>58</v>
      </c>
      <c r="AP16" s="82">
        <f>'026'!AP16-'028'!AP16</f>
        <v>992</v>
      </c>
    </row>
    <row r="17" spans="1:42" s="66" customFormat="1" ht="30" customHeight="1">
      <c r="A17" s="307" t="s">
        <v>40</v>
      </c>
      <c r="B17" s="277"/>
      <c r="C17" s="82">
        <f>'026'!C17-'028'!C17</f>
        <v>160</v>
      </c>
      <c r="D17" s="82">
        <f>'026'!D17-'028'!D17</f>
        <v>5399</v>
      </c>
      <c r="E17" s="82">
        <f>'026'!E17-'028'!E17</f>
        <v>1</v>
      </c>
      <c r="F17" s="82">
        <f>'026'!F17-'028'!F17</f>
        <v>1</v>
      </c>
      <c r="G17" s="82">
        <f>'026'!G17-'028'!G17</f>
        <v>159</v>
      </c>
      <c r="H17" s="82">
        <f>'026'!H17-'028'!H17</f>
        <v>5398</v>
      </c>
      <c r="I17" s="123" t="s">
        <v>15</v>
      </c>
      <c r="J17" s="123" t="s">
        <v>15</v>
      </c>
      <c r="K17" s="123" t="s">
        <v>15</v>
      </c>
      <c r="L17" s="123" t="s">
        <v>15</v>
      </c>
      <c r="M17" s="123" t="s">
        <v>15</v>
      </c>
      <c r="N17" s="123" t="s">
        <v>15</v>
      </c>
      <c r="O17" s="82">
        <f>'026'!O17-'028'!O17</f>
        <v>2</v>
      </c>
      <c r="P17" s="82">
        <f>'026'!P17-'028'!P17</f>
        <v>81</v>
      </c>
      <c r="Q17" s="123" t="s">
        <v>15</v>
      </c>
      <c r="R17" s="123" t="s">
        <v>15</v>
      </c>
      <c r="S17" s="123" t="s">
        <v>15</v>
      </c>
      <c r="T17" s="123" t="s">
        <v>15</v>
      </c>
      <c r="U17" s="123" t="s">
        <v>15</v>
      </c>
      <c r="V17" s="123" t="s">
        <v>15</v>
      </c>
      <c r="W17" s="123" t="s">
        <v>15</v>
      </c>
      <c r="X17" s="123" t="s">
        <v>15</v>
      </c>
      <c r="Y17" s="82">
        <f>'026'!Y17-'028'!Y17</f>
        <v>1</v>
      </c>
      <c r="Z17" s="82">
        <f>'026'!Z17-'028'!Z17</f>
        <v>7</v>
      </c>
      <c r="AA17" s="82">
        <f>'026'!AA17-'028'!AA17</f>
        <v>5</v>
      </c>
      <c r="AB17" s="82">
        <f>'026'!AB17-'028'!AB17</f>
        <v>114</v>
      </c>
      <c r="AC17" s="123" t="s">
        <v>15</v>
      </c>
      <c r="AD17" s="123" t="s">
        <v>15</v>
      </c>
      <c r="AE17" s="82">
        <f>'026'!AE17-'028'!AE17</f>
        <v>5</v>
      </c>
      <c r="AF17" s="82">
        <f>'026'!AF17-'028'!AF17</f>
        <v>22</v>
      </c>
      <c r="AG17" s="82">
        <f>'026'!AG17-'028'!AG17</f>
        <v>69</v>
      </c>
      <c r="AH17" s="82">
        <f>'026'!AH17-'028'!AH17</f>
        <v>1555</v>
      </c>
      <c r="AI17" s="82">
        <f>'026'!AI17-'028'!AI17</f>
        <v>23</v>
      </c>
      <c r="AJ17" s="82">
        <f>'026'!AJ17-'028'!AJ17</f>
        <v>850</v>
      </c>
      <c r="AK17" s="123" t="s">
        <v>15</v>
      </c>
      <c r="AL17" s="123" t="s">
        <v>15</v>
      </c>
      <c r="AM17" s="82">
        <f>'026'!AM17-'028'!AM17</f>
        <v>5</v>
      </c>
      <c r="AN17" s="82">
        <f>'026'!AN17-'028'!AN17</f>
        <v>74</v>
      </c>
      <c r="AO17" s="82">
        <f>'026'!AO17-'028'!AO17</f>
        <v>49</v>
      </c>
      <c r="AP17" s="82">
        <f>'026'!AP17-'028'!AP17</f>
        <v>2695</v>
      </c>
    </row>
    <row r="18" spans="1:42" s="66" customFormat="1" ht="30" customHeight="1">
      <c r="A18" s="307" t="s">
        <v>41</v>
      </c>
      <c r="B18" s="277"/>
      <c r="C18" s="82">
        <f>'026'!C18-'028'!C18</f>
        <v>119</v>
      </c>
      <c r="D18" s="82">
        <f>'026'!D18-'028'!D18</f>
        <v>1868</v>
      </c>
      <c r="E18" s="123" t="s">
        <v>15</v>
      </c>
      <c r="F18" s="123" t="s">
        <v>15</v>
      </c>
      <c r="G18" s="82">
        <f>'026'!G18-'028'!G18</f>
        <v>119</v>
      </c>
      <c r="H18" s="82">
        <f>'026'!H18-'028'!H18</f>
        <v>1868</v>
      </c>
      <c r="I18" s="123" t="s">
        <v>15</v>
      </c>
      <c r="J18" s="123" t="s">
        <v>15</v>
      </c>
      <c r="K18" s="123" t="s">
        <v>15</v>
      </c>
      <c r="L18" s="123" t="s">
        <v>15</v>
      </c>
      <c r="M18" s="123" t="s">
        <v>15</v>
      </c>
      <c r="N18" s="123" t="s">
        <v>15</v>
      </c>
      <c r="O18" s="82">
        <f>'026'!O18-'028'!O18</f>
        <v>1</v>
      </c>
      <c r="P18" s="82">
        <f>'026'!P18-'028'!P18</f>
        <v>14</v>
      </c>
      <c r="Q18" s="123" t="s">
        <v>15</v>
      </c>
      <c r="R18" s="123" t="s">
        <v>15</v>
      </c>
      <c r="S18" s="82">
        <f>'026'!S18-'028'!S18</f>
        <v>1</v>
      </c>
      <c r="T18" s="82">
        <f>'026'!T18-'028'!T18</f>
        <v>13</v>
      </c>
      <c r="U18" s="123" t="s">
        <v>15</v>
      </c>
      <c r="V18" s="123" t="s">
        <v>15</v>
      </c>
      <c r="W18" s="123" t="s">
        <v>15</v>
      </c>
      <c r="X18" s="123" t="s">
        <v>15</v>
      </c>
      <c r="Y18" s="123" t="s">
        <v>15</v>
      </c>
      <c r="Z18" s="123" t="s">
        <v>15</v>
      </c>
      <c r="AA18" s="82">
        <f>'026'!AA18-'028'!AA18</f>
        <v>3</v>
      </c>
      <c r="AB18" s="82">
        <f>'026'!AB18-'028'!AB18</f>
        <v>95</v>
      </c>
      <c r="AC18" s="82">
        <f>'026'!AC18-'028'!AC18</f>
        <v>1</v>
      </c>
      <c r="AD18" s="82">
        <f>'026'!AD18-'028'!AD18</f>
        <v>15</v>
      </c>
      <c r="AE18" s="82">
        <f>'026'!AE18-'028'!AE18</f>
        <v>2</v>
      </c>
      <c r="AF18" s="82">
        <f>'026'!AF18-'028'!AF18</f>
        <v>6</v>
      </c>
      <c r="AG18" s="82">
        <f>'026'!AG18-'028'!AG18</f>
        <v>45</v>
      </c>
      <c r="AH18" s="82">
        <f>'026'!AH18-'028'!AH18</f>
        <v>527</v>
      </c>
      <c r="AI18" s="82">
        <f>'026'!AI18-'028'!AI18</f>
        <v>15</v>
      </c>
      <c r="AJ18" s="82">
        <f>'026'!AJ18-'028'!AJ18</f>
        <v>389</v>
      </c>
      <c r="AK18" s="123" t="s">
        <v>15</v>
      </c>
      <c r="AL18" s="123" t="s">
        <v>15</v>
      </c>
      <c r="AM18" s="82">
        <f>'026'!AM18-'028'!AM18</f>
        <v>3</v>
      </c>
      <c r="AN18" s="82">
        <f>'026'!AN18-'028'!AN18</f>
        <v>32</v>
      </c>
      <c r="AO18" s="82">
        <f>'026'!AO18-'028'!AO18</f>
        <v>48</v>
      </c>
      <c r="AP18" s="82">
        <f>'026'!AP18-'028'!AP18</f>
        <v>777</v>
      </c>
    </row>
    <row r="19" spans="1:42" s="66" customFormat="1" ht="30" customHeight="1">
      <c r="A19" s="307" t="s">
        <v>42</v>
      </c>
      <c r="B19" s="277"/>
      <c r="C19" s="82">
        <f>'026'!C19-'028'!C19</f>
        <v>63</v>
      </c>
      <c r="D19" s="82">
        <f>'026'!D19-'028'!D19</f>
        <v>941</v>
      </c>
      <c r="E19" s="82">
        <f>'026'!E19-'028'!E19</f>
        <v>1</v>
      </c>
      <c r="F19" s="82">
        <f>'026'!F19-'028'!F19</f>
        <v>3</v>
      </c>
      <c r="G19" s="82">
        <f>'026'!G19-'028'!G19</f>
        <v>62</v>
      </c>
      <c r="H19" s="82">
        <f>'026'!H19-'028'!H19</f>
        <v>938</v>
      </c>
      <c r="I19" s="123" t="s">
        <v>15</v>
      </c>
      <c r="J19" s="123" t="s">
        <v>15</v>
      </c>
      <c r="K19" s="123" t="s">
        <v>15</v>
      </c>
      <c r="L19" s="123" t="s">
        <v>15</v>
      </c>
      <c r="M19" s="123" t="s">
        <v>15</v>
      </c>
      <c r="N19" s="123" t="s">
        <v>15</v>
      </c>
      <c r="O19" s="82">
        <f>'026'!O19-'028'!O19</f>
        <v>3</v>
      </c>
      <c r="P19" s="82">
        <f>'026'!P19-'028'!P19</f>
        <v>24</v>
      </c>
      <c r="Q19" s="123" t="s">
        <v>15</v>
      </c>
      <c r="R19" s="123" t="s">
        <v>15</v>
      </c>
      <c r="S19" s="123" t="s">
        <v>15</v>
      </c>
      <c r="T19" s="123" t="s">
        <v>15</v>
      </c>
      <c r="U19" s="123" t="s">
        <v>15</v>
      </c>
      <c r="V19" s="123" t="s">
        <v>15</v>
      </c>
      <c r="W19" s="123" t="s">
        <v>15</v>
      </c>
      <c r="X19" s="123" t="s">
        <v>15</v>
      </c>
      <c r="Y19" s="123" t="s">
        <v>15</v>
      </c>
      <c r="Z19" s="123" t="s">
        <v>15</v>
      </c>
      <c r="AA19" s="82">
        <f>'026'!AA19-'028'!AA19</f>
        <v>2</v>
      </c>
      <c r="AB19" s="82">
        <f>'026'!AB19-'028'!AB19</f>
        <v>29</v>
      </c>
      <c r="AC19" s="123" t="s">
        <v>15</v>
      </c>
      <c r="AD19" s="123" t="s">
        <v>15</v>
      </c>
      <c r="AE19" s="82">
        <f>'026'!AE19-'028'!AE19</f>
        <v>2</v>
      </c>
      <c r="AF19" s="82">
        <f>'026'!AF19-'028'!AF19</f>
        <v>9</v>
      </c>
      <c r="AG19" s="82">
        <f>'026'!AG19-'028'!AG19</f>
        <v>18</v>
      </c>
      <c r="AH19" s="82">
        <f>'026'!AH19-'028'!AH19</f>
        <v>297</v>
      </c>
      <c r="AI19" s="82">
        <f>'026'!AI19-'028'!AI19</f>
        <v>15</v>
      </c>
      <c r="AJ19" s="82">
        <f>'026'!AJ19-'028'!AJ19</f>
        <v>351</v>
      </c>
      <c r="AK19" s="123" t="s">
        <v>15</v>
      </c>
      <c r="AL19" s="123" t="s">
        <v>15</v>
      </c>
      <c r="AM19" s="82">
        <f>'026'!AM19-'028'!AM19</f>
        <v>1</v>
      </c>
      <c r="AN19" s="82">
        <f>'026'!AN19-'028'!AN19</f>
        <v>4</v>
      </c>
      <c r="AO19" s="82">
        <f>'026'!AO19-'028'!AO19</f>
        <v>21</v>
      </c>
      <c r="AP19" s="82">
        <f>'026'!AP19-'028'!AP19</f>
        <v>224</v>
      </c>
    </row>
    <row r="20" spans="1:42" s="66" customFormat="1" ht="30" customHeight="1">
      <c r="A20" s="307" t="s">
        <v>43</v>
      </c>
      <c r="B20" s="277"/>
      <c r="C20" s="82">
        <f>'026'!C20-'028'!C20</f>
        <v>109</v>
      </c>
      <c r="D20" s="82">
        <f>'026'!D20-'028'!D20</f>
        <v>2220</v>
      </c>
      <c r="E20" s="82">
        <f>'026'!E20-'028'!E20</f>
        <v>1</v>
      </c>
      <c r="F20" s="82">
        <f>'026'!F20-'028'!F20</f>
        <v>9</v>
      </c>
      <c r="G20" s="82">
        <f>'026'!G20-'028'!G20</f>
        <v>108</v>
      </c>
      <c r="H20" s="82">
        <f>'026'!H20-'028'!H20</f>
        <v>2211</v>
      </c>
      <c r="I20" s="123" t="s">
        <v>15</v>
      </c>
      <c r="J20" s="123" t="s">
        <v>15</v>
      </c>
      <c r="K20" s="123" t="s">
        <v>15</v>
      </c>
      <c r="L20" s="123" t="s">
        <v>15</v>
      </c>
      <c r="M20" s="123" t="s">
        <v>15</v>
      </c>
      <c r="N20" s="123" t="s">
        <v>15</v>
      </c>
      <c r="O20" s="82">
        <f>'026'!O20</f>
        <v>2</v>
      </c>
      <c r="P20" s="82">
        <f>'026'!P20</f>
        <v>21</v>
      </c>
      <c r="Q20" s="123" t="s">
        <v>15</v>
      </c>
      <c r="R20" s="123" t="s">
        <v>15</v>
      </c>
      <c r="S20" s="82">
        <f>'026'!S20-'028'!S20</f>
        <v>1</v>
      </c>
      <c r="T20" s="82">
        <f>'026'!T20-'028'!T20</f>
        <v>6</v>
      </c>
      <c r="U20" s="123" t="s">
        <v>15</v>
      </c>
      <c r="V20" s="123" t="s">
        <v>15</v>
      </c>
      <c r="W20" s="123" t="s">
        <v>15</v>
      </c>
      <c r="X20" s="123" t="s">
        <v>15</v>
      </c>
      <c r="Y20" s="123" t="s">
        <v>15</v>
      </c>
      <c r="Z20" s="123" t="s">
        <v>15</v>
      </c>
      <c r="AA20" s="82">
        <f>'026'!AA20-'028'!AA20</f>
        <v>1</v>
      </c>
      <c r="AB20" s="82">
        <f>'026'!AB20-'028'!AB20</f>
        <v>23</v>
      </c>
      <c r="AC20" s="82">
        <f>'026'!AC20-'028'!AC20</f>
        <v>1</v>
      </c>
      <c r="AD20" s="82">
        <f>'026'!AD20-'028'!AD20</f>
        <v>6</v>
      </c>
      <c r="AE20" s="82">
        <f>'026'!AE20-'028'!AE20</f>
        <v>2</v>
      </c>
      <c r="AF20" s="82">
        <f>'026'!AF20-'028'!AF20</f>
        <v>11</v>
      </c>
      <c r="AG20" s="82">
        <f>'026'!AG20-'028'!AG20</f>
        <v>40</v>
      </c>
      <c r="AH20" s="82">
        <f>'026'!AH20-'028'!AH20</f>
        <v>826</v>
      </c>
      <c r="AI20" s="82">
        <f>'026'!AI20-'028'!AI20</f>
        <v>25</v>
      </c>
      <c r="AJ20" s="82">
        <f>'026'!AJ20-'028'!AJ20</f>
        <v>598</v>
      </c>
      <c r="AK20" s="123" t="s">
        <v>15</v>
      </c>
      <c r="AL20" s="123" t="s">
        <v>15</v>
      </c>
      <c r="AM20" s="82">
        <f>'026'!AM20-'028'!AM20</f>
        <v>5</v>
      </c>
      <c r="AN20" s="82">
        <f>'026'!AN20-'028'!AN20</f>
        <v>32</v>
      </c>
      <c r="AO20" s="82">
        <f>'026'!AO20-'028'!AO20</f>
        <v>31</v>
      </c>
      <c r="AP20" s="82">
        <f>'026'!AP20-'028'!AP20</f>
        <v>688</v>
      </c>
    </row>
    <row r="21" spans="1:42" s="66" customFormat="1" ht="30" customHeight="1">
      <c r="A21" s="307" t="s">
        <v>44</v>
      </c>
      <c r="B21" s="277"/>
      <c r="C21" s="82">
        <f>'026'!C21-'028'!C21</f>
        <v>57</v>
      </c>
      <c r="D21" s="82">
        <f>'026'!D21-'028'!D21</f>
        <v>925</v>
      </c>
      <c r="E21" s="123" t="s">
        <v>15</v>
      </c>
      <c r="F21" s="123" t="s">
        <v>15</v>
      </c>
      <c r="G21" s="82">
        <f>'026'!G21-'028'!G21</f>
        <v>57</v>
      </c>
      <c r="H21" s="82">
        <f>'026'!H21-'028'!H21</f>
        <v>925</v>
      </c>
      <c r="I21" s="123" t="s">
        <v>15</v>
      </c>
      <c r="J21" s="123" t="s">
        <v>15</v>
      </c>
      <c r="K21" s="123" t="s">
        <v>15</v>
      </c>
      <c r="L21" s="123" t="s">
        <v>15</v>
      </c>
      <c r="M21" s="123" t="s">
        <v>15</v>
      </c>
      <c r="N21" s="123" t="s">
        <v>15</v>
      </c>
      <c r="O21" s="82">
        <f>'026'!O21</f>
        <v>1</v>
      </c>
      <c r="P21" s="82">
        <f>'026'!P21</f>
        <v>12</v>
      </c>
      <c r="Q21" s="123" t="s">
        <v>15</v>
      </c>
      <c r="R21" s="123" t="s">
        <v>15</v>
      </c>
      <c r="S21" s="123" t="s">
        <v>15</v>
      </c>
      <c r="T21" s="123" t="s">
        <v>15</v>
      </c>
      <c r="U21" s="123" t="s">
        <v>15</v>
      </c>
      <c r="V21" s="123" t="s">
        <v>15</v>
      </c>
      <c r="W21" s="123" t="s">
        <v>15</v>
      </c>
      <c r="X21" s="123" t="s">
        <v>15</v>
      </c>
      <c r="Y21" s="123" t="s">
        <v>15</v>
      </c>
      <c r="Z21" s="123" t="s">
        <v>15</v>
      </c>
      <c r="AA21" s="82">
        <f>'026'!AA21-'028'!AA21</f>
        <v>1</v>
      </c>
      <c r="AB21" s="82">
        <f>'026'!AB21-'028'!AB21</f>
        <v>25</v>
      </c>
      <c r="AC21" s="82">
        <f>'026'!AC21-'028'!AC21</f>
        <v>1</v>
      </c>
      <c r="AD21" s="82">
        <f>'026'!AD21-'028'!AD21</f>
        <v>2</v>
      </c>
      <c r="AE21" s="82">
        <f>'026'!AE21-'028'!AE21</f>
        <v>1</v>
      </c>
      <c r="AF21" s="123" t="s">
        <v>15</v>
      </c>
      <c r="AG21" s="82">
        <f>'026'!AG21-'028'!AG21</f>
        <v>24</v>
      </c>
      <c r="AH21" s="82">
        <f>'026'!AH21-'028'!AH21</f>
        <v>282</v>
      </c>
      <c r="AI21" s="82">
        <f>'026'!AI21-'028'!AI21</f>
        <v>9</v>
      </c>
      <c r="AJ21" s="82">
        <f>'026'!AJ21-'028'!AJ21</f>
        <v>292</v>
      </c>
      <c r="AK21" s="123" t="s">
        <v>15</v>
      </c>
      <c r="AL21" s="123" t="s">
        <v>15</v>
      </c>
      <c r="AM21" s="82">
        <f>'026'!AM21-'028'!AM21</f>
        <v>2</v>
      </c>
      <c r="AN21" s="82">
        <f>'026'!AN21-'028'!AN21</f>
        <v>3</v>
      </c>
      <c r="AO21" s="82">
        <f>'026'!AO21-'028'!AO21</f>
        <v>18</v>
      </c>
      <c r="AP21" s="82">
        <f>'026'!AP21-'028'!AP21</f>
        <v>309</v>
      </c>
    </row>
    <row r="22" spans="1:42" s="66" customFormat="1" ht="30" customHeight="1">
      <c r="A22" s="307" t="s">
        <v>201</v>
      </c>
      <c r="B22" s="277"/>
      <c r="C22" s="82">
        <f>'026'!C22-'028'!C22</f>
        <v>75</v>
      </c>
      <c r="D22" s="82">
        <f>'026'!D22-'028'!D22</f>
        <v>1310</v>
      </c>
      <c r="E22" s="123" t="s">
        <v>15</v>
      </c>
      <c r="F22" s="123" t="s">
        <v>15</v>
      </c>
      <c r="G22" s="82">
        <f>'026'!G22-'028'!G22</f>
        <v>75</v>
      </c>
      <c r="H22" s="82">
        <f>'026'!H22-'028'!H22</f>
        <v>1310</v>
      </c>
      <c r="I22" s="123" t="s">
        <v>15</v>
      </c>
      <c r="J22" s="123" t="s">
        <v>15</v>
      </c>
      <c r="K22" s="123" t="s">
        <v>15</v>
      </c>
      <c r="L22" s="123" t="s">
        <v>15</v>
      </c>
      <c r="M22" s="123" t="s">
        <v>15</v>
      </c>
      <c r="N22" s="123" t="s">
        <v>15</v>
      </c>
      <c r="O22" s="82">
        <f>'026'!O22</f>
        <v>1</v>
      </c>
      <c r="P22" s="82">
        <f>'026'!P22</f>
        <v>11</v>
      </c>
      <c r="Q22" s="82">
        <f>'026'!Q22-'028'!Q22</f>
        <v>1</v>
      </c>
      <c r="R22" s="82">
        <f>'026'!R22-'028'!R22</f>
        <v>6</v>
      </c>
      <c r="S22" s="82">
        <f>'026'!S22-'028'!S22</f>
        <v>1</v>
      </c>
      <c r="T22" s="82">
        <f>'026'!T22-'028'!T22</f>
        <v>1</v>
      </c>
      <c r="U22" s="123" t="s">
        <v>15</v>
      </c>
      <c r="V22" s="123" t="s">
        <v>15</v>
      </c>
      <c r="W22" s="123" t="s">
        <v>15</v>
      </c>
      <c r="X22" s="123" t="s">
        <v>15</v>
      </c>
      <c r="Y22" s="123" t="s">
        <v>15</v>
      </c>
      <c r="Z22" s="123" t="s">
        <v>15</v>
      </c>
      <c r="AA22" s="82">
        <f>'026'!AA22-'028'!AA22</f>
        <v>1</v>
      </c>
      <c r="AB22" s="82">
        <f>'026'!AB22-'028'!AB22</f>
        <v>24</v>
      </c>
      <c r="AC22" s="82">
        <f>'026'!AC22-'028'!AC22</f>
        <v>2</v>
      </c>
      <c r="AD22" s="82">
        <f>'026'!AD22-'028'!AD22</f>
        <v>23</v>
      </c>
      <c r="AE22" s="123" t="s">
        <v>15</v>
      </c>
      <c r="AF22" s="123" t="s">
        <v>15</v>
      </c>
      <c r="AG22" s="82">
        <f>'026'!AG22-'028'!AG22</f>
        <v>18</v>
      </c>
      <c r="AH22" s="82">
        <f>'026'!AH22-'028'!AH22</f>
        <v>365</v>
      </c>
      <c r="AI22" s="82">
        <f>'026'!AI22-'028'!AI22</f>
        <v>35</v>
      </c>
      <c r="AJ22" s="82">
        <f>'026'!AJ22-'028'!AJ22</f>
        <v>643</v>
      </c>
      <c r="AK22" s="123" t="s">
        <v>15</v>
      </c>
      <c r="AL22" s="123" t="s">
        <v>15</v>
      </c>
      <c r="AM22" s="82">
        <f>'026'!AM22-'028'!AM22</f>
        <v>3</v>
      </c>
      <c r="AN22" s="82">
        <f>'026'!AN22-'028'!AN22</f>
        <v>4</v>
      </c>
      <c r="AO22" s="82">
        <f>'026'!AO22-'028'!AO22</f>
        <v>13</v>
      </c>
      <c r="AP22" s="82">
        <f>'026'!AP22-'028'!AP22</f>
        <v>233</v>
      </c>
    </row>
    <row r="23" spans="1:42" s="66" customFormat="1" ht="30" customHeight="1">
      <c r="A23" s="307" t="s">
        <v>260</v>
      </c>
      <c r="B23" s="277"/>
      <c r="C23" s="82">
        <f>'026'!C23-'028'!C23</f>
        <v>217</v>
      </c>
      <c r="D23" s="82">
        <f>'026'!D23-'028'!D23</f>
        <v>3960</v>
      </c>
      <c r="E23" s="123" t="s">
        <v>15</v>
      </c>
      <c r="F23" s="123" t="s">
        <v>15</v>
      </c>
      <c r="G23" s="82">
        <f>'026'!G23-'028'!G23</f>
        <v>217</v>
      </c>
      <c r="H23" s="82">
        <f>'026'!H23-'028'!H23</f>
        <v>3960</v>
      </c>
      <c r="I23" s="123" t="s">
        <v>15</v>
      </c>
      <c r="J23" s="123" t="s">
        <v>15</v>
      </c>
      <c r="K23" s="123" t="s">
        <v>15</v>
      </c>
      <c r="L23" s="123" t="s">
        <v>15</v>
      </c>
      <c r="M23" s="123" t="s">
        <v>15</v>
      </c>
      <c r="N23" s="123" t="s">
        <v>15</v>
      </c>
      <c r="O23" s="82">
        <f>'026'!O23-'028'!O23</f>
        <v>7</v>
      </c>
      <c r="P23" s="82">
        <f>'026'!P23-'028'!P23</f>
        <v>83</v>
      </c>
      <c r="Q23" s="123" t="s">
        <v>15</v>
      </c>
      <c r="R23" s="123" t="s">
        <v>15</v>
      </c>
      <c r="S23" s="123" t="s">
        <v>15</v>
      </c>
      <c r="T23" s="123" t="s">
        <v>15</v>
      </c>
      <c r="U23" s="123" t="s">
        <v>15</v>
      </c>
      <c r="V23" s="123" t="s">
        <v>15</v>
      </c>
      <c r="W23" s="123" t="s">
        <v>15</v>
      </c>
      <c r="X23" s="123" t="s">
        <v>15</v>
      </c>
      <c r="Y23" s="123" t="s">
        <v>15</v>
      </c>
      <c r="Z23" s="123" t="s">
        <v>15</v>
      </c>
      <c r="AA23" s="82">
        <f>'026'!AA23-'028'!AA23</f>
        <v>10</v>
      </c>
      <c r="AB23" s="82">
        <f>'026'!AB23-'028'!AB23</f>
        <v>118</v>
      </c>
      <c r="AC23" s="123" t="s">
        <v>15</v>
      </c>
      <c r="AD23" s="123" t="s">
        <v>15</v>
      </c>
      <c r="AE23" s="82">
        <f>'026'!AE23-'028'!AE23</f>
        <v>4</v>
      </c>
      <c r="AF23" s="82">
        <f>'026'!AF23-'028'!AF23</f>
        <v>7</v>
      </c>
      <c r="AG23" s="82">
        <f>'026'!AG23-'028'!AG23</f>
        <v>83</v>
      </c>
      <c r="AH23" s="82">
        <f>'026'!AH23-'028'!AH23</f>
        <v>1231</v>
      </c>
      <c r="AI23" s="82">
        <f>'026'!AI23-'028'!AI23</f>
        <v>47</v>
      </c>
      <c r="AJ23" s="82">
        <f>'026'!AJ23-'028'!AJ23</f>
        <v>1293</v>
      </c>
      <c r="AK23" s="123" t="s">
        <v>15</v>
      </c>
      <c r="AL23" s="123" t="s">
        <v>15</v>
      </c>
      <c r="AM23" s="82">
        <f>'026'!AM23-'028'!AM23</f>
        <v>8</v>
      </c>
      <c r="AN23" s="82">
        <f>'026'!AN23-'028'!AN23</f>
        <v>48</v>
      </c>
      <c r="AO23" s="82">
        <f>'026'!AO23-'028'!AO23</f>
        <v>58</v>
      </c>
      <c r="AP23" s="82">
        <f>'026'!AP23-'028'!AP23</f>
        <v>1180</v>
      </c>
    </row>
    <row r="24" spans="1:42" s="66" customFormat="1" ht="30" customHeight="1">
      <c r="A24" s="307" t="s">
        <v>202</v>
      </c>
      <c r="B24" s="277"/>
      <c r="C24" s="82">
        <f>'026'!C24-'028'!C24</f>
        <v>94</v>
      </c>
      <c r="D24" s="82">
        <f>'026'!D24-'028'!D24</f>
        <v>1653</v>
      </c>
      <c r="E24" s="123" t="s">
        <v>15</v>
      </c>
      <c r="F24" s="123" t="s">
        <v>15</v>
      </c>
      <c r="G24" s="82">
        <f>'026'!G24-'028'!G24</f>
        <v>94</v>
      </c>
      <c r="H24" s="82">
        <f>'026'!H24-'028'!H24</f>
        <v>1653</v>
      </c>
      <c r="I24" s="123" t="s">
        <v>15</v>
      </c>
      <c r="J24" s="123" t="s">
        <v>15</v>
      </c>
      <c r="K24" s="123" t="s">
        <v>15</v>
      </c>
      <c r="L24" s="123" t="s">
        <v>15</v>
      </c>
      <c r="M24" s="123" t="s">
        <v>15</v>
      </c>
      <c r="N24" s="123" t="s">
        <v>15</v>
      </c>
      <c r="O24" s="82">
        <f>'026'!O24</f>
        <v>2</v>
      </c>
      <c r="P24" s="82">
        <f>'026'!P24</f>
        <v>16</v>
      </c>
      <c r="Q24" s="123" t="s">
        <v>15</v>
      </c>
      <c r="R24" s="123" t="s">
        <v>15</v>
      </c>
      <c r="S24" s="82">
        <f>'026'!S24-'028'!S24</f>
        <v>1</v>
      </c>
      <c r="T24" s="82">
        <f>'026'!T24-'028'!T24</f>
        <v>2</v>
      </c>
      <c r="U24" s="123" t="s">
        <v>15</v>
      </c>
      <c r="V24" s="123" t="s">
        <v>15</v>
      </c>
      <c r="W24" s="123" t="s">
        <v>15</v>
      </c>
      <c r="X24" s="123" t="s">
        <v>15</v>
      </c>
      <c r="Y24" s="123" t="s">
        <v>15</v>
      </c>
      <c r="Z24" s="123" t="s">
        <v>15</v>
      </c>
      <c r="AA24" s="123" t="s">
        <v>15</v>
      </c>
      <c r="AB24" s="123" t="s">
        <v>15</v>
      </c>
      <c r="AC24" s="82">
        <f>'026'!AC24-'028'!AC24</f>
        <v>1</v>
      </c>
      <c r="AD24" s="82">
        <f>'026'!AD24-'028'!AD24</f>
        <v>27</v>
      </c>
      <c r="AE24" s="82">
        <f>'026'!AE24-'028'!AE24</f>
        <v>4</v>
      </c>
      <c r="AF24" s="82">
        <f>'026'!AF24-'028'!AF24</f>
        <v>17</v>
      </c>
      <c r="AG24" s="82">
        <f>'026'!AG24-'028'!AG24</f>
        <v>25</v>
      </c>
      <c r="AH24" s="82">
        <f>'026'!AH24-'028'!AH24</f>
        <v>502</v>
      </c>
      <c r="AI24" s="82">
        <f>'026'!AI24-'028'!AI24</f>
        <v>41</v>
      </c>
      <c r="AJ24" s="82">
        <f>'026'!AJ24-'028'!AJ24</f>
        <v>703</v>
      </c>
      <c r="AK24" s="123" t="s">
        <v>15</v>
      </c>
      <c r="AL24" s="123" t="s">
        <v>15</v>
      </c>
      <c r="AM24" s="82">
        <f>'026'!AM24-'028'!AM24</f>
        <v>3</v>
      </c>
      <c r="AN24" s="82">
        <f>'026'!AN24-'028'!AN24</f>
        <v>35</v>
      </c>
      <c r="AO24" s="82">
        <f>'026'!AO24-'028'!AO24</f>
        <v>17</v>
      </c>
      <c r="AP24" s="82">
        <f>'026'!AP24-'028'!AP24</f>
        <v>351</v>
      </c>
    </row>
    <row r="25" spans="1:42" s="66" customFormat="1" ht="30" customHeight="1">
      <c r="A25" s="124"/>
      <c r="B25" s="125"/>
      <c r="C25" s="81"/>
      <c r="D25" s="81"/>
      <c r="E25" s="126"/>
      <c r="F25" s="126"/>
      <c r="G25" s="88"/>
      <c r="H25" s="88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80"/>
      <c r="AH25" s="80"/>
      <c r="AI25" s="126"/>
      <c r="AJ25" s="126"/>
      <c r="AK25" s="80"/>
      <c r="AL25" s="80"/>
      <c r="AM25" s="126"/>
      <c r="AN25" s="126"/>
      <c r="AO25" s="126"/>
      <c r="AP25" s="126"/>
    </row>
    <row r="26" spans="1:42" s="66" customFormat="1" ht="30" customHeight="1">
      <c r="A26" s="307" t="s">
        <v>45</v>
      </c>
      <c r="B26" s="277"/>
      <c r="C26" s="181">
        <f>'026'!C26-'028'!C26</f>
        <v>27</v>
      </c>
      <c r="D26" s="181">
        <f>'026'!D26-'028'!D26</f>
        <v>244</v>
      </c>
      <c r="E26" s="123" t="str">
        <f aca="true" t="shared" si="2" ref="E26:AP26">E27</f>
        <v>－</v>
      </c>
      <c r="F26" s="123" t="str">
        <f t="shared" si="2"/>
        <v>－</v>
      </c>
      <c r="G26" s="82">
        <f t="shared" si="2"/>
        <v>27</v>
      </c>
      <c r="H26" s="82">
        <f t="shared" si="2"/>
        <v>244</v>
      </c>
      <c r="I26" s="123" t="str">
        <f t="shared" si="2"/>
        <v>－</v>
      </c>
      <c r="J26" s="123" t="str">
        <f t="shared" si="2"/>
        <v>－</v>
      </c>
      <c r="K26" s="123" t="str">
        <f t="shared" si="2"/>
        <v>－</v>
      </c>
      <c r="L26" s="123" t="str">
        <f t="shared" si="2"/>
        <v>－</v>
      </c>
      <c r="M26" s="123" t="str">
        <f t="shared" si="2"/>
        <v>－</v>
      </c>
      <c r="N26" s="123" t="str">
        <f t="shared" si="2"/>
        <v>－</v>
      </c>
      <c r="O26" s="123" t="str">
        <f t="shared" si="2"/>
        <v>－</v>
      </c>
      <c r="P26" s="123" t="str">
        <f t="shared" si="2"/>
        <v>－</v>
      </c>
      <c r="Q26" s="123" t="str">
        <f t="shared" si="2"/>
        <v>－</v>
      </c>
      <c r="R26" s="123" t="str">
        <f t="shared" si="2"/>
        <v>－</v>
      </c>
      <c r="S26" s="123" t="str">
        <f t="shared" si="2"/>
        <v>－</v>
      </c>
      <c r="T26" s="123" t="str">
        <f t="shared" si="2"/>
        <v>－</v>
      </c>
      <c r="U26" s="123" t="str">
        <f t="shared" si="2"/>
        <v>－</v>
      </c>
      <c r="V26" s="123" t="str">
        <f t="shared" si="2"/>
        <v>－</v>
      </c>
      <c r="W26" s="123" t="str">
        <f t="shared" si="2"/>
        <v>－</v>
      </c>
      <c r="X26" s="123" t="str">
        <f t="shared" si="2"/>
        <v>－</v>
      </c>
      <c r="Y26" s="123" t="str">
        <f t="shared" si="2"/>
        <v>－</v>
      </c>
      <c r="Z26" s="123" t="str">
        <f t="shared" si="2"/>
        <v>－</v>
      </c>
      <c r="AA26" s="123" t="str">
        <f t="shared" si="2"/>
        <v>－</v>
      </c>
      <c r="AB26" s="123" t="str">
        <f t="shared" si="2"/>
        <v>－</v>
      </c>
      <c r="AC26" s="123" t="str">
        <f t="shared" si="2"/>
        <v>－</v>
      </c>
      <c r="AD26" s="123" t="str">
        <f t="shared" si="2"/>
        <v>－</v>
      </c>
      <c r="AE26" s="82">
        <f t="shared" si="2"/>
        <v>4</v>
      </c>
      <c r="AF26" s="82">
        <f t="shared" si="2"/>
        <v>8</v>
      </c>
      <c r="AG26" s="82">
        <f t="shared" si="2"/>
        <v>8</v>
      </c>
      <c r="AH26" s="82">
        <f t="shared" si="2"/>
        <v>78</v>
      </c>
      <c r="AI26" s="82">
        <f t="shared" si="2"/>
        <v>8</v>
      </c>
      <c r="AJ26" s="82">
        <f t="shared" si="2"/>
        <v>101</v>
      </c>
      <c r="AK26" s="123" t="s">
        <v>15</v>
      </c>
      <c r="AL26" s="123" t="s">
        <v>15</v>
      </c>
      <c r="AM26" s="82">
        <f t="shared" si="2"/>
        <v>1</v>
      </c>
      <c r="AN26" s="82">
        <f t="shared" si="2"/>
        <v>7</v>
      </c>
      <c r="AO26" s="82">
        <f t="shared" si="2"/>
        <v>6</v>
      </c>
      <c r="AP26" s="82">
        <f t="shared" si="2"/>
        <v>50</v>
      </c>
    </row>
    <row r="27" spans="1:42" s="66" customFormat="1" ht="30" customHeight="1">
      <c r="A27" s="134"/>
      <c r="B27" s="125" t="s">
        <v>205</v>
      </c>
      <c r="C27" s="177">
        <f>'026'!C27-'028'!C27</f>
        <v>27</v>
      </c>
      <c r="D27" s="177">
        <f>'026'!D27-'028'!D27</f>
        <v>244</v>
      </c>
      <c r="E27" s="160" t="s">
        <v>15</v>
      </c>
      <c r="F27" s="160" t="s">
        <v>15</v>
      </c>
      <c r="G27" s="177">
        <f>'026'!G27-'028'!G27</f>
        <v>27</v>
      </c>
      <c r="H27" s="177">
        <f>'026'!H27-'028'!H27</f>
        <v>244</v>
      </c>
      <c r="I27" s="160" t="s">
        <v>15</v>
      </c>
      <c r="J27" s="160" t="s">
        <v>15</v>
      </c>
      <c r="K27" s="160" t="s">
        <v>15</v>
      </c>
      <c r="L27" s="160" t="s">
        <v>15</v>
      </c>
      <c r="M27" s="160" t="s">
        <v>15</v>
      </c>
      <c r="N27" s="160" t="s">
        <v>15</v>
      </c>
      <c r="O27" s="160" t="s">
        <v>15</v>
      </c>
      <c r="P27" s="160" t="s">
        <v>15</v>
      </c>
      <c r="Q27" s="160" t="s">
        <v>15</v>
      </c>
      <c r="R27" s="160" t="s">
        <v>15</v>
      </c>
      <c r="S27" s="160" t="s">
        <v>15</v>
      </c>
      <c r="T27" s="160" t="s">
        <v>15</v>
      </c>
      <c r="U27" s="160" t="s">
        <v>15</v>
      </c>
      <c r="V27" s="160" t="s">
        <v>15</v>
      </c>
      <c r="W27" s="160" t="s">
        <v>15</v>
      </c>
      <c r="X27" s="160" t="s">
        <v>15</v>
      </c>
      <c r="Y27" s="160" t="s">
        <v>15</v>
      </c>
      <c r="Z27" s="160" t="s">
        <v>15</v>
      </c>
      <c r="AA27" s="160" t="s">
        <v>15</v>
      </c>
      <c r="AB27" s="160" t="s">
        <v>15</v>
      </c>
      <c r="AC27" s="160" t="s">
        <v>15</v>
      </c>
      <c r="AD27" s="160" t="s">
        <v>15</v>
      </c>
      <c r="AE27" s="177">
        <f>'026'!AE27-'028'!AE27</f>
        <v>4</v>
      </c>
      <c r="AF27" s="177">
        <f>'026'!AF27-'028'!AF27</f>
        <v>8</v>
      </c>
      <c r="AG27" s="177">
        <f>'026'!AG27-'028'!AG27</f>
        <v>8</v>
      </c>
      <c r="AH27" s="177">
        <f>'026'!AH27-'028'!AH27</f>
        <v>78</v>
      </c>
      <c r="AI27" s="177">
        <f>'026'!AI27-'028'!AI27</f>
        <v>8</v>
      </c>
      <c r="AJ27" s="177">
        <f>'026'!AJ27-'028'!AJ27</f>
        <v>101</v>
      </c>
      <c r="AK27" s="160" t="s">
        <v>15</v>
      </c>
      <c r="AL27" s="160" t="s">
        <v>15</v>
      </c>
      <c r="AM27" s="177">
        <f>'026'!AM27-'028'!AM27</f>
        <v>1</v>
      </c>
      <c r="AN27" s="177">
        <f>'026'!AN27-'028'!AN27</f>
        <v>7</v>
      </c>
      <c r="AO27" s="177">
        <f>'026'!AO27-'028'!AO27</f>
        <v>6</v>
      </c>
      <c r="AP27" s="177">
        <f>'026'!AP27-'028'!AP27</f>
        <v>50</v>
      </c>
    </row>
    <row r="28" spans="1:42" ht="30" customHeight="1">
      <c r="A28" s="134"/>
      <c r="B28" s="125"/>
      <c r="C28" s="81"/>
      <c r="D28" s="81"/>
      <c r="E28" s="126"/>
      <c r="F28" s="126"/>
      <c r="G28" s="88"/>
      <c r="H28" s="88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80"/>
      <c r="AH28" s="80"/>
      <c r="AI28" s="126"/>
      <c r="AJ28" s="126"/>
      <c r="AK28" s="80"/>
      <c r="AL28" s="80"/>
      <c r="AM28" s="126"/>
      <c r="AN28" s="126"/>
      <c r="AO28" s="126"/>
      <c r="AP28" s="126"/>
    </row>
    <row r="29" spans="1:42" ht="30" customHeight="1">
      <c r="A29" s="307" t="s">
        <v>206</v>
      </c>
      <c r="B29" s="277"/>
      <c r="C29" s="181">
        <f>'026'!C29-'028'!C29</f>
        <v>57</v>
      </c>
      <c r="D29" s="181">
        <f>'026'!D29-'028'!D29</f>
        <v>1329</v>
      </c>
      <c r="E29" s="123" t="str">
        <f>E30</f>
        <v>－</v>
      </c>
      <c r="F29" s="123" t="str">
        <f>F30</f>
        <v>－</v>
      </c>
      <c r="G29" s="82">
        <f aca="true" t="shared" si="3" ref="G29:AP29">G30</f>
        <v>57</v>
      </c>
      <c r="H29" s="82">
        <f t="shared" si="3"/>
        <v>1329</v>
      </c>
      <c r="I29" s="123" t="str">
        <f t="shared" si="3"/>
        <v>－</v>
      </c>
      <c r="J29" s="123" t="str">
        <f t="shared" si="3"/>
        <v>－</v>
      </c>
      <c r="K29" s="123" t="str">
        <f t="shared" si="3"/>
        <v>－</v>
      </c>
      <c r="L29" s="123" t="str">
        <f t="shared" si="3"/>
        <v>－</v>
      </c>
      <c r="M29" s="123" t="str">
        <f t="shared" si="3"/>
        <v>－</v>
      </c>
      <c r="N29" s="123" t="str">
        <f t="shared" si="3"/>
        <v>－</v>
      </c>
      <c r="O29" s="82">
        <f t="shared" si="3"/>
        <v>1</v>
      </c>
      <c r="P29" s="82">
        <f t="shared" si="3"/>
        <v>8</v>
      </c>
      <c r="Q29" s="123" t="str">
        <f t="shared" si="3"/>
        <v>－</v>
      </c>
      <c r="R29" s="123" t="str">
        <f t="shared" si="3"/>
        <v>－</v>
      </c>
      <c r="S29" s="123" t="str">
        <f t="shared" si="3"/>
        <v>－</v>
      </c>
      <c r="T29" s="123" t="str">
        <f t="shared" si="3"/>
        <v>－</v>
      </c>
      <c r="U29" s="123" t="str">
        <f t="shared" si="3"/>
        <v>－</v>
      </c>
      <c r="V29" s="123" t="str">
        <f t="shared" si="3"/>
        <v>－</v>
      </c>
      <c r="W29" s="123" t="str">
        <f t="shared" si="3"/>
        <v>－</v>
      </c>
      <c r="X29" s="123" t="str">
        <f t="shared" si="3"/>
        <v>－</v>
      </c>
      <c r="Y29" s="123" t="str">
        <f t="shared" si="3"/>
        <v>－</v>
      </c>
      <c r="Z29" s="123" t="str">
        <f t="shared" si="3"/>
        <v>－</v>
      </c>
      <c r="AA29" s="123" t="str">
        <f t="shared" si="3"/>
        <v>－</v>
      </c>
      <c r="AB29" s="123" t="str">
        <f t="shared" si="3"/>
        <v>－</v>
      </c>
      <c r="AC29" s="82">
        <f t="shared" si="3"/>
        <v>1</v>
      </c>
      <c r="AD29" s="82">
        <f t="shared" si="3"/>
        <v>3</v>
      </c>
      <c r="AE29" s="82">
        <f t="shared" si="3"/>
        <v>4</v>
      </c>
      <c r="AF29" s="82">
        <f t="shared" si="3"/>
        <v>16</v>
      </c>
      <c r="AG29" s="82">
        <f t="shared" si="3"/>
        <v>23</v>
      </c>
      <c r="AH29" s="82">
        <f t="shared" si="3"/>
        <v>723</v>
      </c>
      <c r="AI29" s="82">
        <f t="shared" si="3"/>
        <v>17</v>
      </c>
      <c r="AJ29" s="82">
        <f t="shared" si="3"/>
        <v>254</v>
      </c>
      <c r="AK29" s="123" t="s">
        <v>15</v>
      </c>
      <c r="AL29" s="123" t="s">
        <v>15</v>
      </c>
      <c r="AM29" s="82">
        <f t="shared" si="3"/>
        <v>3</v>
      </c>
      <c r="AN29" s="82">
        <f t="shared" si="3"/>
        <v>5</v>
      </c>
      <c r="AO29" s="82">
        <f t="shared" si="3"/>
        <v>8</v>
      </c>
      <c r="AP29" s="82">
        <f t="shared" si="3"/>
        <v>320</v>
      </c>
    </row>
    <row r="30" spans="1:42" s="66" customFormat="1" ht="30" customHeight="1">
      <c r="A30" s="124"/>
      <c r="B30" s="125" t="s">
        <v>207</v>
      </c>
      <c r="C30" s="177">
        <f>'026'!C30-'028'!C30</f>
        <v>57</v>
      </c>
      <c r="D30" s="177">
        <f>'026'!D30-'028'!D30</f>
        <v>1329</v>
      </c>
      <c r="E30" s="160" t="s">
        <v>15</v>
      </c>
      <c r="F30" s="160" t="s">
        <v>15</v>
      </c>
      <c r="G30" s="177">
        <f>'026'!G30-'028'!G30</f>
        <v>57</v>
      </c>
      <c r="H30" s="177">
        <f>'026'!H30-'028'!H30</f>
        <v>1329</v>
      </c>
      <c r="I30" s="160" t="s">
        <v>15</v>
      </c>
      <c r="J30" s="160" t="s">
        <v>15</v>
      </c>
      <c r="K30" s="160" t="s">
        <v>15</v>
      </c>
      <c r="L30" s="160" t="s">
        <v>15</v>
      </c>
      <c r="M30" s="160" t="s">
        <v>15</v>
      </c>
      <c r="N30" s="160" t="s">
        <v>15</v>
      </c>
      <c r="O30" s="177">
        <f>'026'!O30</f>
        <v>1</v>
      </c>
      <c r="P30" s="177">
        <f>'026'!P30</f>
        <v>8</v>
      </c>
      <c r="Q30" s="160" t="s">
        <v>15</v>
      </c>
      <c r="R30" s="160" t="s">
        <v>15</v>
      </c>
      <c r="S30" s="160" t="s">
        <v>15</v>
      </c>
      <c r="T30" s="160" t="s">
        <v>15</v>
      </c>
      <c r="U30" s="160" t="s">
        <v>15</v>
      </c>
      <c r="V30" s="160" t="s">
        <v>15</v>
      </c>
      <c r="W30" s="160" t="s">
        <v>15</v>
      </c>
      <c r="X30" s="160" t="s">
        <v>15</v>
      </c>
      <c r="Y30" s="160" t="s">
        <v>15</v>
      </c>
      <c r="Z30" s="160" t="s">
        <v>15</v>
      </c>
      <c r="AA30" s="160" t="s">
        <v>15</v>
      </c>
      <c r="AB30" s="160" t="s">
        <v>15</v>
      </c>
      <c r="AC30" s="177">
        <f>'026'!AC30-'028'!AC30</f>
        <v>1</v>
      </c>
      <c r="AD30" s="177">
        <f>'026'!AD30-'028'!AD30</f>
        <v>3</v>
      </c>
      <c r="AE30" s="177">
        <f>'026'!AE30-'028'!AE30</f>
        <v>4</v>
      </c>
      <c r="AF30" s="177">
        <f>'026'!AF30-'028'!AF30</f>
        <v>16</v>
      </c>
      <c r="AG30" s="177">
        <f>'026'!AG30-'028'!AG30</f>
        <v>23</v>
      </c>
      <c r="AH30" s="177">
        <f>'026'!AH30-'028'!AH30</f>
        <v>723</v>
      </c>
      <c r="AI30" s="177">
        <f>'026'!AI30-'028'!AI30</f>
        <v>17</v>
      </c>
      <c r="AJ30" s="177">
        <f>'026'!AJ30-'028'!AJ30</f>
        <v>254</v>
      </c>
      <c r="AK30" s="160" t="s">
        <v>15</v>
      </c>
      <c r="AL30" s="160" t="s">
        <v>15</v>
      </c>
      <c r="AM30" s="177">
        <f>'026'!AM30-'028'!AM30</f>
        <v>3</v>
      </c>
      <c r="AN30" s="177">
        <f>'026'!AN30-'028'!AN30</f>
        <v>5</v>
      </c>
      <c r="AO30" s="177">
        <f>'026'!AO30-'028'!AO30</f>
        <v>8</v>
      </c>
      <c r="AP30" s="177">
        <f>'026'!AP30-'028'!AP30</f>
        <v>320</v>
      </c>
    </row>
    <row r="31" spans="1:42" ht="30" customHeight="1">
      <c r="A31" s="124"/>
      <c r="B31" s="125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80"/>
      <c r="AH31" s="80"/>
      <c r="AI31" s="126"/>
      <c r="AJ31" s="126"/>
      <c r="AK31" s="80"/>
      <c r="AL31" s="80"/>
      <c r="AM31" s="126"/>
      <c r="AN31" s="126"/>
      <c r="AO31" s="126"/>
      <c r="AP31" s="126"/>
    </row>
    <row r="32" spans="1:42" ht="30" customHeight="1">
      <c r="A32" s="307" t="s">
        <v>208</v>
      </c>
      <c r="B32" s="277"/>
      <c r="C32" s="181">
        <f>'026'!C32-'028'!C32</f>
        <v>113</v>
      </c>
      <c r="D32" s="181">
        <f>'026'!D32-'028'!D32</f>
        <v>1912</v>
      </c>
      <c r="E32" s="123" t="s">
        <v>15</v>
      </c>
      <c r="F32" s="123" t="s">
        <v>15</v>
      </c>
      <c r="G32" s="82">
        <f>G33+G34</f>
        <v>113</v>
      </c>
      <c r="H32" s="82">
        <f>H33+H34</f>
        <v>1912</v>
      </c>
      <c r="I32" s="123" t="s">
        <v>15</v>
      </c>
      <c r="J32" s="123" t="s">
        <v>15</v>
      </c>
      <c r="K32" s="123" t="s">
        <v>15</v>
      </c>
      <c r="L32" s="123" t="s">
        <v>15</v>
      </c>
      <c r="M32" s="123" t="s">
        <v>15</v>
      </c>
      <c r="N32" s="123" t="s">
        <v>15</v>
      </c>
      <c r="O32" s="82">
        <f>O33+O34</f>
        <v>3</v>
      </c>
      <c r="P32" s="82">
        <f>P33+P34</f>
        <v>33</v>
      </c>
      <c r="Q32" s="123" t="s">
        <v>15</v>
      </c>
      <c r="R32" s="123" t="s">
        <v>15</v>
      </c>
      <c r="S32" s="357">
        <v>1</v>
      </c>
      <c r="T32" s="123" t="s">
        <v>15</v>
      </c>
      <c r="U32" s="123" t="s">
        <v>15</v>
      </c>
      <c r="V32" s="123" t="s">
        <v>15</v>
      </c>
      <c r="W32" s="123" t="s">
        <v>15</v>
      </c>
      <c r="X32" s="123" t="s">
        <v>15</v>
      </c>
      <c r="Y32" s="123" t="s">
        <v>15</v>
      </c>
      <c r="Z32" s="123" t="s">
        <v>15</v>
      </c>
      <c r="AA32" s="82">
        <f>'026'!AA32-'028'!AA32</f>
        <v>1</v>
      </c>
      <c r="AB32" s="82">
        <f>'026'!AB32-'028'!AB32</f>
        <v>23</v>
      </c>
      <c r="AC32" s="82">
        <f>'026'!AC32-'028'!AC32</f>
        <v>1</v>
      </c>
      <c r="AD32" s="82">
        <f>'026'!AD32-'028'!AD32</f>
        <v>27</v>
      </c>
      <c r="AE32" s="82">
        <f>'026'!AE32-'028'!AE32</f>
        <v>4</v>
      </c>
      <c r="AF32" s="82">
        <f>'026'!AF32-'028'!AF32</f>
        <v>14</v>
      </c>
      <c r="AG32" s="82">
        <f>'026'!AG32-'028'!AG32</f>
        <v>50</v>
      </c>
      <c r="AH32" s="82">
        <f>'026'!AH32-'028'!AH32</f>
        <v>680</v>
      </c>
      <c r="AI32" s="82">
        <f>'026'!AI32-'028'!AI32</f>
        <v>30</v>
      </c>
      <c r="AJ32" s="82">
        <f>'026'!AJ32-'028'!AJ32</f>
        <v>546</v>
      </c>
      <c r="AK32" s="123" t="s">
        <v>15</v>
      </c>
      <c r="AL32" s="123" t="s">
        <v>15</v>
      </c>
      <c r="AM32" s="82">
        <f>'026'!AM32-'028'!AM32</f>
        <v>4</v>
      </c>
      <c r="AN32" s="82">
        <f>'026'!AN32-'028'!AN32</f>
        <v>24</v>
      </c>
      <c r="AO32" s="82">
        <f>'026'!AO32-'028'!AO32</f>
        <v>19</v>
      </c>
      <c r="AP32" s="82">
        <f>'026'!AP32-'028'!AP32</f>
        <v>565</v>
      </c>
    </row>
    <row r="33" spans="1:42" s="66" customFormat="1" ht="30" customHeight="1">
      <c r="A33" s="124"/>
      <c r="B33" s="125" t="s">
        <v>209</v>
      </c>
      <c r="C33" s="177">
        <f>'026'!C33-'028'!C33</f>
        <v>60</v>
      </c>
      <c r="D33" s="177">
        <f>'026'!D33-'028'!D33</f>
        <v>1261</v>
      </c>
      <c r="E33" s="160" t="s">
        <v>15</v>
      </c>
      <c r="F33" s="160" t="s">
        <v>15</v>
      </c>
      <c r="G33" s="177">
        <f>'026'!G33-'028'!G33</f>
        <v>60</v>
      </c>
      <c r="H33" s="177">
        <f>'026'!H33-'028'!H33</f>
        <v>1261</v>
      </c>
      <c r="I33" s="160" t="s">
        <v>15</v>
      </c>
      <c r="J33" s="160" t="s">
        <v>15</v>
      </c>
      <c r="K33" s="160" t="s">
        <v>15</v>
      </c>
      <c r="L33" s="160" t="s">
        <v>15</v>
      </c>
      <c r="M33" s="160" t="s">
        <v>15</v>
      </c>
      <c r="N33" s="160" t="s">
        <v>15</v>
      </c>
      <c r="O33" s="177">
        <f>'026'!O33</f>
        <v>2</v>
      </c>
      <c r="P33" s="177">
        <f>'026'!P33</f>
        <v>23</v>
      </c>
      <c r="Q33" s="160" t="s">
        <v>15</v>
      </c>
      <c r="R33" s="160" t="s">
        <v>15</v>
      </c>
      <c r="S33" s="177">
        <f>'026'!S33-'028'!S33</f>
        <v>1</v>
      </c>
      <c r="T33" s="160" t="s">
        <v>15</v>
      </c>
      <c r="U33" s="160" t="s">
        <v>15</v>
      </c>
      <c r="V33" s="160" t="s">
        <v>15</v>
      </c>
      <c r="W33" s="160" t="s">
        <v>15</v>
      </c>
      <c r="X33" s="160" t="s">
        <v>15</v>
      </c>
      <c r="Y33" s="160" t="s">
        <v>15</v>
      </c>
      <c r="Z33" s="160" t="s">
        <v>15</v>
      </c>
      <c r="AA33" s="177">
        <f>'026'!AA33-'028'!AA33</f>
        <v>1</v>
      </c>
      <c r="AB33" s="177">
        <f>'026'!AB33-'028'!AB33</f>
        <v>23</v>
      </c>
      <c r="AC33" s="160" t="s">
        <v>15</v>
      </c>
      <c r="AD33" s="160" t="s">
        <v>15</v>
      </c>
      <c r="AE33" s="177">
        <f>'026'!AE33-'028'!AE33</f>
        <v>3</v>
      </c>
      <c r="AF33" s="177">
        <f>'026'!AF33-'028'!AF33</f>
        <v>13</v>
      </c>
      <c r="AG33" s="177">
        <f>'026'!AG33-'028'!AG33</f>
        <v>23</v>
      </c>
      <c r="AH33" s="177">
        <f>'026'!AH33-'028'!AH33</f>
        <v>430</v>
      </c>
      <c r="AI33" s="177">
        <f>'026'!AI33-'028'!AI33</f>
        <v>15</v>
      </c>
      <c r="AJ33" s="177">
        <f>'026'!AJ33-'028'!AJ33</f>
        <v>359</v>
      </c>
      <c r="AK33" s="160" t="s">
        <v>15</v>
      </c>
      <c r="AL33" s="160" t="s">
        <v>15</v>
      </c>
      <c r="AM33" s="177">
        <f>'026'!AM33-'028'!AM33</f>
        <v>2</v>
      </c>
      <c r="AN33" s="177">
        <f>'026'!AN33-'028'!AN33</f>
        <v>19</v>
      </c>
      <c r="AO33" s="177">
        <f>'026'!AO33-'028'!AO33</f>
        <v>13</v>
      </c>
      <c r="AP33" s="177">
        <f>'026'!AP33-'028'!AP33</f>
        <v>394</v>
      </c>
    </row>
    <row r="34" spans="1:42" ht="30" customHeight="1">
      <c r="A34" s="124"/>
      <c r="B34" s="125" t="s">
        <v>210</v>
      </c>
      <c r="C34" s="177">
        <f>'026'!C34-'028'!C34</f>
        <v>53</v>
      </c>
      <c r="D34" s="177">
        <f>'026'!D34-'028'!D34</f>
        <v>651</v>
      </c>
      <c r="E34" s="160" t="s">
        <v>15</v>
      </c>
      <c r="F34" s="160" t="s">
        <v>15</v>
      </c>
      <c r="G34" s="177">
        <f>'026'!G34-'028'!G34</f>
        <v>53</v>
      </c>
      <c r="H34" s="177">
        <f>'026'!H34-'028'!H34</f>
        <v>651</v>
      </c>
      <c r="I34" s="160" t="s">
        <v>15</v>
      </c>
      <c r="J34" s="160" t="s">
        <v>15</v>
      </c>
      <c r="K34" s="160" t="s">
        <v>15</v>
      </c>
      <c r="L34" s="160" t="s">
        <v>15</v>
      </c>
      <c r="M34" s="160" t="s">
        <v>15</v>
      </c>
      <c r="N34" s="160" t="s">
        <v>15</v>
      </c>
      <c r="O34" s="177">
        <f>'026'!O34</f>
        <v>1</v>
      </c>
      <c r="P34" s="177">
        <f>'026'!P34</f>
        <v>10</v>
      </c>
      <c r="Q34" s="160" t="s">
        <v>15</v>
      </c>
      <c r="R34" s="160" t="s">
        <v>15</v>
      </c>
      <c r="S34" s="150" t="s">
        <v>241</v>
      </c>
      <c r="T34" s="160" t="s">
        <v>15</v>
      </c>
      <c r="U34" s="160" t="s">
        <v>15</v>
      </c>
      <c r="V34" s="160" t="s">
        <v>15</v>
      </c>
      <c r="W34" s="160" t="s">
        <v>15</v>
      </c>
      <c r="X34" s="160" t="s">
        <v>15</v>
      </c>
      <c r="Y34" s="160" t="s">
        <v>15</v>
      </c>
      <c r="Z34" s="160" t="s">
        <v>15</v>
      </c>
      <c r="AA34" s="160" t="s">
        <v>15</v>
      </c>
      <c r="AB34" s="160" t="s">
        <v>15</v>
      </c>
      <c r="AC34" s="177">
        <f>'026'!AC34-'028'!AC34</f>
        <v>1</v>
      </c>
      <c r="AD34" s="177">
        <f>'026'!AD34-'028'!AD34</f>
        <v>27</v>
      </c>
      <c r="AE34" s="177">
        <f>'026'!AE34-'028'!AE34</f>
        <v>1</v>
      </c>
      <c r="AF34" s="177">
        <f>'026'!AF34-'028'!AF34</f>
        <v>1</v>
      </c>
      <c r="AG34" s="177">
        <f>'026'!AG34-'028'!AG34</f>
        <v>27</v>
      </c>
      <c r="AH34" s="177">
        <f>'026'!AH34-'028'!AH34</f>
        <v>250</v>
      </c>
      <c r="AI34" s="177">
        <f>'026'!AI34-'028'!AI34</f>
        <v>15</v>
      </c>
      <c r="AJ34" s="177">
        <f>'026'!AJ34-'028'!AJ34</f>
        <v>187</v>
      </c>
      <c r="AK34" s="160" t="s">
        <v>15</v>
      </c>
      <c r="AL34" s="160" t="s">
        <v>15</v>
      </c>
      <c r="AM34" s="177">
        <f>'026'!AM34-'028'!AM34</f>
        <v>2</v>
      </c>
      <c r="AN34" s="177">
        <f>'026'!AN34-'028'!AN34</f>
        <v>5</v>
      </c>
      <c r="AO34" s="177">
        <f>'026'!AO34-'028'!AO34</f>
        <v>6</v>
      </c>
      <c r="AP34" s="177">
        <f>'026'!AP34-'028'!AP34</f>
        <v>171</v>
      </c>
    </row>
    <row r="35" spans="1:42" ht="30" customHeight="1">
      <c r="A35" s="124"/>
      <c r="B35" s="125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123"/>
      <c r="AD35" s="123"/>
      <c r="AE35" s="123"/>
      <c r="AF35" s="123"/>
      <c r="AG35" s="80"/>
      <c r="AH35" s="80"/>
      <c r="AI35" s="126"/>
      <c r="AJ35" s="126"/>
      <c r="AK35" s="80"/>
      <c r="AL35" s="80"/>
      <c r="AM35" s="126"/>
      <c r="AN35" s="126"/>
      <c r="AO35" s="126"/>
      <c r="AP35" s="126"/>
    </row>
    <row r="36" spans="1:42" ht="30" customHeight="1">
      <c r="A36" s="307" t="s">
        <v>83</v>
      </c>
      <c r="B36" s="277"/>
      <c r="C36" s="181">
        <f>'026'!C36-'028'!C36</f>
        <v>105</v>
      </c>
      <c r="D36" s="181">
        <f>'026'!D36-'028'!D36</f>
        <v>1406</v>
      </c>
      <c r="E36" s="123" t="s">
        <v>15</v>
      </c>
      <c r="F36" s="123" t="s">
        <v>15</v>
      </c>
      <c r="G36" s="82">
        <f>G37+G38</f>
        <v>105</v>
      </c>
      <c r="H36" s="82">
        <f>H37+H38</f>
        <v>1406</v>
      </c>
      <c r="I36" s="123" t="s">
        <v>15</v>
      </c>
      <c r="J36" s="123" t="s">
        <v>15</v>
      </c>
      <c r="K36" s="123" t="s">
        <v>15</v>
      </c>
      <c r="L36" s="123" t="s">
        <v>15</v>
      </c>
      <c r="M36" s="123" t="s">
        <v>15</v>
      </c>
      <c r="N36" s="123" t="s">
        <v>15</v>
      </c>
      <c r="O36" s="82">
        <f>O37+O38</f>
        <v>2</v>
      </c>
      <c r="P36" s="82">
        <f>P37+P38</f>
        <v>33</v>
      </c>
      <c r="Q36" s="123" t="s">
        <v>15</v>
      </c>
      <c r="R36" s="123" t="s">
        <v>15</v>
      </c>
      <c r="S36" s="123" t="s">
        <v>15</v>
      </c>
      <c r="T36" s="123" t="s">
        <v>15</v>
      </c>
      <c r="U36" s="82">
        <f>'026'!U36-'028'!U36</f>
        <v>1</v>
      </c>
      <c r="V36" s="82">
        <f>'026'!V36-'028'!V36</f>
        <v>6</v>
      </c>
      <c r="W36" s="123" t="s">
        <v>15</v>
      </c>
      <c r="X36" s="123" t="s">
        <v>15</v>
      </c>
      <c r="Y36" s="123" t="s">
        <v>15</v>
      </c>
      <c r="Z36" s="123" t="s">
        <v>15</v>
      </c>
      <c r="AA36" s="82">
        <f>'026'!AA36-'028'!AA36</f>
        <v>3</v>
      </c>
      <c r="AB36" s="82">
        <f>'026'!AB36-'028'!AB36</f>
        <v>64</v>
      </c>
      <c r="AC36" s="82">
        <f>'026'!AC36-'028'!AC36</f>
        <v>4</v>
      </c>
      <c r="AD36" s="82">
        <f>'026'!AD36-'028'!AD36</f>
        <v>38</v>
      </c>
      <c r="AE36" s="82">
        <f>'026'!AE36-'028'!AE36</f>
        <v>6</v>
      </c>
      <c r="AF36" s="82">
        <f>'026'!AF36-'028'!AF36</f>
        <v>26</v>
      </c>
      <c r="AG36" s="82">
        <f>'026'!AG36-'028'!AG36</f>
        <v>29</v>
      </c>
      <c r="AH36" s="82">
        <f>'026'!AH36-'028'!AH36</f>
        <v>403</v>
      </c>
      <c r="AI36" s="82">
        <f>'026'!AI36-'028'!AI36</f>
        <v>31</v>
      </c>
      <c r="AJ36" s="82">
        <f>'026'!AJ36-'028'!AJ36</f>
        <v>456</v>
      </c>
      <c r="AK36" s="123" t="s">
        <v>15</v>
      </c>
      <c r="AL36" s="123" t="s">
        <v>15</v>
      </c>
      <c r="AM36" s="82">
        <f>'026'!AM36-'028'!AM36</f>
        <v>1</v>
      </c>
      <c r="AN36" s="82">
        <f>'026'!AN36-'028'!AN36</f>
        <v>3</v>
      </c>
      <c r="AO36" s="82">
        <f>'026'!AO36-'028'!AO36</f>
        <v>28</v>
      </c>
      <c r="AP36" s="82">
        <f>'026'!AP36-'028'!AP36</f>
        <v>377</v>
      </c>
    </row>
    <row r="37" spans="1:42" s="66" customFormat="1" ht="30" customHeight="1">
      <c r="A37" s="127"/>
      <c r="B37" s="125" t="s">
        <v>84</v>
      </c>
      <c r="C37" s="177">
        <f>'026'!C37-'028'!C37</f>
        <v>66</v>
      </c>
      <c r="D37" s="177">
        <f>'026'!D37-'028'!D37</f>
        <v>838</v>
      </c>
      <c r="E37" s="160" t="s">
        <v>15</v>
      </c>
      <c r="F37" s="160" t="s">
        <v>15</v>
      </c>
      <c r="G37" s="177">
        <f>'026'!G37-'028'!G37</f>
        <v>66</v>
      </c>
      <c r="H37" s="177">
        <f>'026'!H37-'028'!H37</f>
        <v>838</v>
      </c>
      <c r="I37" s="160" t="s">
        <v>15</v>
      </c>
      <c r="J37" s="160" t="s">
        <v>15</v>
      </c>
      <c r="K37" s="160" t="s">
        <v>15</v>
      </c>
      <c r="L37" s="160" t="s">
        <v>15</v>
      </c>
      <c r="M37" s="160" t="s">
        <v>15</v>
      </c>
      <c r="N37" s="160" t="s">
        <v>15</v>
      </c>
      <c r="O37" s="177">
        <f>'026'!O37-'028'!O37</f>
        <v>1</v>
      </c>
      <c r="P37" s="177">
        <f>'026'!P37-'028'!P37</f>
        <v>16</v>
      </c>
      <c r="Q37" s="160" t="s">
        <v>15</v>
      </c>
      <c r="R37" s="160" t="s">
        <v>15</v>
      </c>
      <c r="S37" s="160" t="s">
        <v>15</v>
      </c>
      <c r="T37" s="160" t="s">
        <v>15</v>
      </c>
      <c r="U37" s="177">
        <f>'026'!U37-'028'!U37</f>
        <v>1</v>
      </c>
      <c r="V37" s="177">
        <f>'026'!V37-'028'!V37</f>
        <v>6</v>
      </c>
      <c r="W37" s="160" t="s">
        <v>15</v>
      </c>
      <c r="X37" s="160" t="s">
        <v>15</v>
      </c>
      <c r="Y37" s="160" t="s">
        <v>15</v>
      </c>
      <c r="Z37" s="160" t="s">
        <v>15</v>
      </c>
      <c r="AA37" s="177">
        <f>'026'!AA37-'028'!AA37</f>
        <v>2</v>
      </c>
      <c r="AB37" s="177">
        <f>'026'!AB37-'028'!AB37</f>
        <v>31</v>
      </c>
      <c r="AC37" s="177">
        <f>'026'!AC37-'028'!AC37</f>
        <v>4</v>
      </c>
      <c r="AD37" s="177">
        <f>'026'!AD37-'028'!AD37</f>
        <v>38</v>
      </c>
      <c r="AE37" s="177">
        <f>'026'!AE37-'028'!AE37</f>
        <v>4</v>
      </c>
      <c r="AF37" s="177">
        <f>'026'!AF37-'028'!AF37</f>
        <v>13</v>
      </c>
      <c r="AG37" s="177">
        <f>'026'!AG37-'028'!AG37</f>
        <v>17</v>
      </c>
      <c r="AH37" s="177">
        <f>'026'!AH37-'028'!AH37</f>
        <v>257</v>
      </c>
      <c r="AI37" s="177">
        <f>'026'!AI37-'028'!AI37</f>
        <v>19</v>
      </c>
      <c r="AJ37" s="177">
        <f>'026'!AJ37-'028'!AJ37</f>
        <v>248</v>
      </c>
      <c r="AK37" s="160" t="s">
        <v>15</v>
      </c>
      <c r="AL37" s="160" t="s">
        <v>15</v>
      </c>
      <c r="AM37" s="177">
        <f>'026'!AM37-'028'!AM37</f>
        <v>1</v>
      </c>
      <c r="AN37" s="177">
        <f>'026'!AN37-'028'!AN37</f>
        <v>3</v>
      </c>
      <c r="AO37" s="177">
        <f>'026'!AO37-'028'!AO37</f>
        <v>17</v>
      </c>
      <c r="AP37" s="177">
        <f>'026'!AP37-'028'!AP37</f>
        <v>226</v>
      </c>
    </row>
    <row r="38" spans="1:42" ht="30" customHeight="1">
      <c r="A38" s="127"/>
      <c r="B38" s="128" t="s">
        <v>203</v>
      </c>
      <c r="C38" s="177">
        <f>'026'!C38-'028'!C38</f>
        <v>39</v>
      </c>
      <c r="D38" s="177">
        <f>'026'!D38-'028'!D38</f>
        <v>568</v>
      </c>
      <c r="E38" s="160" t="s">
        <v>15</v>
      </c>
      <c r="F38" s="160" t="s">
        <v>15</v>
      </c>
      <c r="G38" s="177">
        <f>'026'!G38-'028'!G38</f>
        <v>39</v>
      </c>
      <c r="H38" s="177">
        <f>'026'!H38-'028'!H38</f>
        <v>568</v>
      </c>
      <c r="I38" s="160" t="s">
        <v>15</v>
      </c>
      <c r="J38" s="160" t="s">
        <v>15</v>
      </c>
      <c r="K38" s="160" t="s">
        <v>15</v>
      </c>
      <c r="L38" s="160" t="s">
        <v>15</v>
      </c>
      <c r="M38" s="160" t="s">
        <v>15</v>
      </c>
      <c r="N38" s="160" t="s">
        <v>15</v>
      </c>
      <c r="O38" s="177">
        <f>'026'!O38-'028'!O38</f>
        <v>1</v>
      </c>
      <c r="P38" s="177">
        <f>'026'!P38-'028'!P38</f>
        <v>17</v>
      </c>
      <c r="Q38" s="160" t="s">
        <v>15</v>
      </c>
      <c r="R38" s="160" t="s">
        <v>15</v>
      </c>
      <c r="S38" s="160" t="s">
        <v>15</v>
      </c>
      <c r="T38" s="160" t="s">
        <v>15</v>
      </c>
      <c r="U38" s="160" t="s">
        <v>15</v>
      </c>
      <c r="V38" s="160" t="s">
        <v>15</v>
      </c>
      <c r="W38" s="160" t="s">
        <v>15</v>
      </c>
      <c r="X38" s="160" t="s">
        <v>15</v>
      </c>
      <c r="Y38" s="160" t="s">
        <v>15</v>
      </c>
      <c r="Z38" s="160" t="s">
        <v>15</v>
      </c>
      <c r="AA38" s="177">
        <f>'026'!AA38-'028'!AA38</f>
        <v>1</v>
      </c>
      <c r="AB38" s="177">
        <f>'026'!AB38-'028'!AB38</f>
        <v>33</v>
      </c>
      <c r="AC38" s="160" t="s">
        <v>15</v>
      </c>
      <c r="AD38" s="160" t="s">
        <v>15</v>
      </c>
      <c r="AE38" s="177">
        <f>'026'!AE38-'028'!AE38</f>
        <v>2</v>
      </c>
      <c r="AF38" s="177">
        <f>'026'!AF38-'028'!AF38</f>
        <v>13</v>
      </c>
      <c r="AG38" s="177">
        <f>'026'!AG38-'028'!AG38</f>
        <v>12</v>
      </c>
      <c r="AH38" s="177">
        <f>'026'!AH38-'028'!AH38</f>
        <v>146</v>
      </c>
      <c r="AI38" s="177">
        <f>'026'!AI38-'028'!AI38</f>
        <v>12</v>
      </c>
      <c r="AJ38" s="177">
        <f>'026'!AJ38-'028'!AJ38</f>
        <v>208</v>
      </c>
      <c r="AK38" s="160" t="s">
        <v>15</v>
      </c>
      <c r="AL38" s="160" t="s">
        <v>15</v>
      </c>
      <c r="AM38" s="160" t="s">
        <v>15</v>
      </c>
      <c r="AN38" s="160" t="s">
        <v>15</v>
      </c>
      <c r="AO38" s="177">
        <f>'026'!AO38-'028'!AO38</f>
        <v>11</v>
      </c>
      <c r="AP38" s="177">
        <f>'026'!AP38-'028'!AP38</f>
        <v>151</v>
      </c>
    </row>
    <row r="39" spans="1:42" ht="30" customHeight="1">
      <c r="A39" s="127"/>
      <c r="B39" s="125"/>
      <c r="C39" s="81"/>
      <c r="D39" s="81"/>
      <c r="E39" s="126"/>
      <c r="F39" s="126"/>
      <c r="G39" s="88"/>
      <c r="H39" s="88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</row>
    <row r="40" spans="1:42" ht="30" customHeight="1">
      <c r="A40" s="307" t="s">
        <v>85</v>
      </c>
      <c r="B40" s="277"/>
      <c r="C40" s="181">
        <f>'026'!C40-'028'!C40</f>
        <v>54</v>
      </c>
      <c r="D40" s="181">
        <f>'026'!D40-'028'!D40</f>
        <v>585</v>
      </c>
      <c r="E40" s="123" t="str">
        <f>E41</f>
        <v>－</v>
      </c>
      <c r="F40" s="123" t="str">
        <f>F41</f>
        <v>－</v>
      </c>
      <c r="G40" s="82">
        <f aca="true" t="shared" si="4" ref="G40:AB40">G41</f>
        <v>54</v>
      </c>
      <c r="H40" s="82">
        <f t="shared" si="4"/>
        <v>585</v>
      </c>
      <c r="I40" s="123" t="str">
        <f t="shared" si="4"/>
        <v>－</v>
      </c>
      <c r="J40" s="123" t="str">
        <f t="shared" si="4"/>
        <v>－</v>
      </c>
      <c r="K40" s="123" t="str">
        <f t="shared" si="4"/>
        <v>－</v>
      </c>
      <c r="L40" s="123" t="str">
        <f t="shared" si="4"/>
        <v>－</v>
      </c>
      <c r="M40" s="123" t="str">
        <f t="shared" si="4"/>
        <v>－</v>
      </c>
      <c r="N40" s="123" t="str">
        <f t="shared" si="4"/>
        <v>－</v>
      </c>
      <c r="O40" s="82">
        <f t="shared" si="4"/>
        <v>1</v>
      </c>
      <c r="P40" s="82">
        <f t="shared" si="4"/>
        <v>9</v>
      </c>
      <c r="Q40" s="82">
        <f t="shared" si="4"/>
        <v>1</v>
      </c>
      <c r="R40" s="82">
        <f t="shared" si="4"/>
        <v>4</v>
      </c>
      <c r="S40" s="123" t="str">
        <f t="shared" si="4"/>
        <v>－</v>
      </c>
      <c r="T40" s="123" t="str">
        <f t="shared" si="4"/>
        <v>－</v>
      </c>
      <c r="U40" s="123" t="str">
        <f t="shared" si="4"/>
        <v>－</v>
      </c>
      <c r="V40" s="123" t="str">
        <f t="shared" si="4"/>
        <v>－</v>
      </c>
      <c r="W40" s="123" t="str">
        <f t="shared" si="4"/>
        <v>－</v>
      </c>
      <c r="X40" s="123" t="str">
        <f t="shared" si="4"/>
        <v>－</v>
      </c>
      <c r="Y40" s="123" t="str">
        <f t="shared" si="4"/>
        <v>－</v>
      </c>
      <c r="Z40" s="123" t="str">
        <f t="shared" si="4"/>
        <v>－</v>
      </c>
      <c r="AA40" s="123" t="str">
        <f t="shared" si="4"/>
        <v>－</v>
      </c>
      <c r="AB40" s="123" t="str">
        <f t="shared" si="4"/>
        <v>－</v>
      </c>
      <c r="AC40" s="82">
        <f>'026'!AC40-'028'!AC40</f>
        <v>2</v>
      </c>
      <c r="AD40" s="82">
        <f>'026'!AD40-'028'!AD40</f>
        <v>10</v>
      </c>
      <c r="AE40" s="82">
        <f>'026'!AE40-'028'!AE40</f>
        <v>2</v>
      </c>
      <c r="AF40" s="82">
        <f>'026'!AF40-'028'!AF40</f>
        <v>11</v>
      </c>
      <c r="AG40" s="82">
        <f>'026'!AG40-'028'!AG40</f>
        <v>15</v>
      </c>
      <c r="AH40" s="82">
        <f>'026'!AH40-'028'!AH40</f>
        <v>230</v>
      </c>
      <c r="AI40" s="82">
        <f>'026'!AI40-'028'!AI40</f>
        <v>21</v>
      </c>
      <c r="AJ40" s="82">
        <f>'026'!AJ40-'028'!AJ40</f>
        <v>165</v>
      </c>
      <c r="AK40" s="123" t="s">
        <v>15</v>
      </c>
      <c r="AL40" s="123" t="s">
        <v>15</v>
      </c>
      <c r="AM40" s="82">
        <f>'026'!AM40-'028'!AM40</f>
        <v>1</v>
      </c>
      <c r="AN40" s="82">
        <f>'026'!AN40-'028'!AN40</f>
        <v>1</v>
      </c>
      <c r="AO40" s="82">
        <f>'026'!AO40-'028'!AO40</f>
        <v>11</v>
      </c>
      <c r="AP40" s="82">
        <f>'026'!AP40-'028'!AP40</f>
        <v>155</v>
      </c>
    </row>
    <row r="41" spans="1:42" ht="30" customHeight="1">
      <c r="A41" s="124"/>
      <c r="B41" s="125" t="s">
        <v>9</v>
      </c>
      <c r="C41" s="177">
        <f>'026'!C41-'028'!C41</f>
        <v>54</v>
      </c>
      <c r="D41" s="177">
        <f>'026'!D41-'028'!D41</f>
        <v>585</v>
      </c>
      <c r="E41" s="160" t="s">
        <v>15</v>
      </c>
      <c r="F41" s="160" t="s">
        <v>15</v>
      </c>
      <c r="G41" s="177">
        <f>'026'!G41-'028'!G41</f>
        <v>54</v>
      </c>
      <c r="H41" s="177">
        <f>'026'!H41-'028'!H41</f>
        <v>585</v>
      </c>
      <c r="I41" s="160" t="s">
        <v>15</v>
      </c>
      <c r="J41" s="160" t="s">
        <v>15</v>
      </c>
      <c r="K41" s="160" t="s">
        <v>15</v>
      </c>
      <c r="L41" s="160" t="s">
        <v>15</v>
      </c>
      <c r="M41" s="160" t="s">
        <v>15</v>
      </c>
      <c r="N41" s="160" t="s">
        <v>15</v>
      </c>
      <c r="O41" s="177">
        <f>'026'!O41</f>
        <v>1</v>
      </c>
      <c r="P41" s="177">
        <f>'026'!P41</f>
        <v>9</v>
      </c>
      <c r="Q41" s="177">
        <f>'026'!Q41-'028'!Q41</f>
        <v>1</v>
      </c>
      <c r="R41" s="177">
        <f>'026'!R41-'028'!R41</f>
        <v>4</v>
      </c>
      <c r="S41" s="160" t="s">
        <v>15</v>
      </c>
      <c r="T41" s="160" t="s">
        <v>15</v>
      </c>
      <c r="U41" s="160" t="s">
        <v>15</v>
      </c>
      <c r="V41" s="160" t="s">
        <v>15</v>
      </c>
      <c r="W41" s="160" t="s">
        <v>15</v>
      </c>
      <c r="X41" s="160" t="s">
        <v>15</v>
      </c>
      <c r="Y41" s="160" t="s">
        <v>15</v>
      </c>
      <c r="Z41" s="160" t="s">
        <v>15</v>
      </c>
      <c r="AA41" s="160" t="s">
        <v>15</v>
      </c>
      <c r="AB41" s="160" t="s">
        <v>15</v>
      </c>
      <c r="AC41" s="177">
        <f>'026'!AC41-'028'!AC41</f>
        <v>2</v>
      </c>
      <c r="AD41" s="177">
        <f>'026'!AD41-'028'!AD41</f>
        <v>10</v>
      </c>
      <c r="AE41" s="177">
        <f>'026'!AE41-'028'!AE41</f>
        <v>2</v>
      </c>
      <c r="AF41" s="177">
        <f>'026'!AF41-'028'!AF41</f>
        <v>11</v>
      </c>
      <c r="AG41" s="177">
        <f>'026'!AG41-'028'!AG41</f>
        <v>15</v>
      </c>
      <c r="AH41" s="177">
        <f>'026'!AH41-'028'!AH41</f>
        <v>230</v>
      </c>
      <c r="AI41" s="177">
        <f>'026'!AI41-'028'!AI41</f>
        <v>21</v>
      </c>
      <c r="AJ41" s="177">
        <f>'026'!AJ41-'028'!AJ41</f>
        <v>165</v>
      </c>
      <c r="AK41" s="160" t="s">
        <v>15</v>
      </c>
      <c r="AL41" s="160" t="s">
        <v>15</v>
      </c>
      <c r="AM41" s="177">
        <f>'026'!AM41-'028'!AM41</f>
        <v>1</v>
      </c>
      <c r="AN41" s="177">
        <f>'026'!AN41-'028'!AN41</f>
        <v>1</v>
      </c>
      <c r="AO41" s="177">
        <f>'026'!AO41-'028'!AO41</f>
        <v>11</v>
      </c>
      <c r="AP41" s="177">
        <f>'026'!AP41-'028'!AP41</f>
        <v>155</v>
      </c>
    </row>
    <row r="42" spans="1:42" ht="30" customHeight="1">
      <c r="A42" s="124"/>
      <c r="B42" s="125"/>
      <c r="C42" s="81"/>
      <c r="D42" s="81"/>
      <c r="E42" s="126"/>
      <c r="F42" s="126"/>
      <c r="G42" s="88"/>
      <c r="H42" s="8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80"/>
      <c r="AH42" s="80"/>
      <c r="AI42" s="126"/>
      <c r="AJ42" s="126"/>
      <c r="AK42" s="80"/>
      <c r="AL42" s="80"/>
      <c r="AM42" s="126"/>
      <c r="AN42" s="126"/>
      <c r="AO42" s="126"/>
      <c r="AP42" s="126"/>
    </row>
    <row r="43" spans="1:42" ht="30" customHeight="1">
      <c r="A43" s="307" t="s">
        <v>10</v>
      </c>
      <c r="B43" s="277"/>
      <c r="C43" s="181">
        <f>'026'!C43-'028'!C43</f>
        <v>113</v>
      </c>
      <c r="D43" s="181">
        <f>'026'!D43-'028'!D43</f>
        <v>1637</v>
      </c>
      <c r="E43" s="181">
        <f>'026'!E43-'028'!E43</f>
        <v>1</v>
      </c>
      <c r="F43" s="181">
        <f>'026'!F43-'028'!F43</f>
        <v>17</v>
      </c>
      <c r="G43" s="82">
        <f>G44+G45</f>
        <v>112</v>
      </c>
      <c r="H43" s="82">
        <f>H44+H45</f>
        <v>1620</v>
      </c>
      <c r="I43" s="123" t="s">
        <v>15</v>
      </c>
      <c r="J43" s="123" t="s">
        <v>15</v>
      </c>
      <c r="K43" s="123" t="s">
        <v>15</v>
      </c>
      <c r="L43" s="123" t="s">
        <v>15</v>
      </c>
      <c r="M43" s="123" t="s">
        <v>15</v>
      </c>
      <c r="N43" s="123" t="s">
        <v>15</v>
      </c>
      <c r="O43" s="82">
        <f>O44+O45</f>
        <v>5</v>
      </c>
      <c r="P43" s="82">
        <f>P44+P45</f>
        <v>31</v>
      </c>
      <c r="Q43" s="123" t="s">
        <v>15</v>
      </c>
      <c r="R43" s="123" t="s">
        <v>15</v>
      </c>
      <c r="S43" s="123" t="s">
        <v>15</v>
      </c>
      <c r="T43" s="123" t="s">
        <v>15</v>
      </c>
      <c r="U43" s="123" t="s">
        <v>15</v>
      </c>
      <c r="V43" s="123" t="s">
        <v>15</v>
      </c>
      <c r="W43" s="123" t="s">
        <v>15</v>
      </c>
      <c r="X43" s="123" t="s">
        <v>15</v>
      </c>
      <c r="Y43" s="123" t="s">
        <v>15</v>
      </c>
      <c r="Z43" s="123" t="s">
        <v>15</v>
      </c>
      <c r="AA43" s="82">
        <f>'026'!AA43-'028'!AA43</f>
        <v>3</v>
      </c>
      <c r="AB43" s="82">
        <f>'026'!AB43-'028'!AB43</f>
        <v>72</v>
      </c>
      <c r="AC43" s="123" t="s">
        <v>15</v>
      </c>
      <c r="AD43" s="123" t="s">
        <v>15</v>
      </c>
      <c r="AE43" s="82">
        <f>'026'!AE43-'028'!AE43</f>
        <v>2</v>
      </c>
      <c r="AF43" s="82">
        <f>'026'!AF43-'028'!AF43</f>
        <v>9</v>
      </c>
      <c r="AG43" s="82">
        <f>'026'!AG43-'028'!AG43</f>
        <v>44</v>
      </c>
      <c r="AH43" s="82">
        <f>'026'!AH43-'028'!AH43</f>
        <v>443</v>
      </c>
      <c r="AI43" s="82">
        <f>'026'!AI43-'028'!AI43</f>
        <v>17</v>
      </c>
      <c r="AJ43" s="82">
        <f>'026'!AJ43-'028'!AJ43</f>
        <v>518</v>
      </c>
      <c r="AK43" s="123" t="s">
        <v>15</v>
      </c>
      <c r="AL43" s="123" t="s">
        <v>15</v>
      </c>
      <c r="AM43" s="82">
        <f>'026'!AM43-'028'!AM43</f>
        <v>6</v>
      </c>
      <c r="AN43" s="82">
        <f>'026'!AN43-'028'!AN43</f>
        <v>43</v>
      </c>
      <c r="AO43" s="82">
        <f>'026'!AO43-'028'!AO43</f>
        <v>35</v>
      </c>
      <c r="AP43" s="82">
        <f>'026'!AP43-'028'!AP43</f>
        <v>504</v>
      </c>
    </row>
    <row r="44" spans="1:42" s="66" customFormat="1" ht="30" customHeight="1">
      <c r="A44" s="124"/>
      <c r="B44" s="125" t="s">
        <v>86</v>
      </c>
      <c r="C44" s="177">
        <f>'026'!C44-'028'!C44</f>
        <v>32</v>
      </c>
      <c r="D44" s="177">
        <f>'026'!D44-'028'!D44</f>
        <v>552</v>
      </c>
      <c r="E44" s="160" t="s">
        <v>15</v>
      </c>
      <c r="F44" s="160" t="s">
        <v>15</v>
      </c>
      <c r="G44" s="177">
        <f>'026'!G44-'028'!G44</f>
        <v>32</v>
      </c>
      <c r="H44" s="177">
        <f>'026'!H44-'028'!H44</f>
        <v>552</v>
      </c>
      <c r="I44" s="178" t="s">
        <v>15</v>
      </c>
      <c r="J44" s="178" t="s">
        <v>15</v>
      </c>
      <c r="K44" s="178" t="s">
        <v>15</v>
      </c>
      <c r="L44" s="178" t="s">
        <v>15</v>
      </c>
      <c r="M44" s="178" t="s">
        <v>15</v>
      </c>
      <c r="N44" s="178" t="s">
        <v>15</v>
      </c>
      <c r="O44" s="177">
        <f>'026'!O44</f>
        <v>1</v>
      </c>
      <c r="P44" s="177">
        <f>'026'!P44</f>
        <v>7</v>
      </c>
      <c r="Q44" s="178" t="s">
        <v>15</v>
      </c>
      <c r="R44" s="178" t="s">
        <v>15</v>
      </c>
      <c r="S44" s="178" t="s">
        <v>15</v>
      </c>
      <c r="T44" s="178" t="s">
        <v>15</v>
      </c>
      <c r="U44" s="178" t="s">
        <v>15</v>
      </c>
      <c r="V44" s="178" t="s">
        <v>15</v>
      </c>
      <c r="W44" s="178" t="s">
        <v>15</v>
      </c>
      <c r="X44" s="178" t="s">
        <v>15</v>
      </c>
      <c r="Y44" s="178" t="s">
        <v>15</v>
      </c>
      <c r="Z44" s="178" t="s">
        <v>15</v>
      </c>
      <c r="AA44" s="160" t="s">
        <v>15</v>
      </c>
      <c r="AB44" s="160" t="s">
        <v>15</v>
      </c>
      <c r="AC44" s="160" t="s">
        <v>15</v>
      </c>
      <c r="AD44" s="160" t="s">
        <v>15</v>
      </c>
      <c r="AE44" s="177">
        <f>'026'!AE44-'028'!AE44</f>
        <v>1</v>
      </c>
      <c r="AF44" s="177">
        <f>'026'!AF44-'028'!AF44</f>
        <v>1</v>
      </c>
      <c r="AG44" s="177">
        <f>'026'!AG44-'028'!AG44</f>
        <v>10</v>
      </c>
      <c r="AH44" s="177">
        <f>'026'!AH44-'028'!AH44</f>
        <v>101</v>
      </c>
      <c r="AI44" s="177">
        <f>'026'!AI44-'028'!AI44</f>
        <v>7</v>
      </c>
      <c r="AJ44" s="177">
        <f>'026'!AJ44-'028'!AJ44</f>
        <v>275</v>
      </c>
      <c r="AK44" s="160" t="s">
        <v>15</v>
      </c>
      <c r="AL44" s="160" t="s">
        <v>15</v>
      </c>
      <c r="AM44" s="177">
        <f>'026'!AM44-'028'!AM44</f>
        <v>2</v>
      </c>
      <c r="AN44" s="177">
        <f>'026'!AN44-'028'!AN44</f>
        <v>17</v>
      </c>
      <c r="AO44" s="177">
        <f>'026'!AO44-'028'!AO44</f>
        <v>11</v>
      </c>
      <c r="AP44" s="177">
        <f>'026'!AP44-'028'!AP44</f>
        <v>151</v>
      </c>
    </row>
    <row r="45" spans="1:42" ht="30" customHeight="1">
      <c r="A45" s="124"/>
      <c r="B45" s="125" t="s">
        <v>204</v>
      </c>
      <c r="C45" s="177">
        <f>'026'!C45-'028'!C45</f>
        <v>81</v>
      </c>
      <c r="D45" s="177">
        <f>'026'!D45-'028'!D45</f>
        <v>1085</v>
      </c>
      <c r="E45" s="177">
        <f>'026'!E45-'028'!E45</f>
        <v>1</v>
      </c>
      <c r="F45" s="177">
        <f>'026'!F45-'028'!F45</f>
        <v>17</v>
      </c>
      <c r="G45" s="177">
        <f>'026'!G45-'028'!G45</f>
        <v>80</v>
      </c>
      <c r="H45" s="177">
        <f>'026'!H45-'028'!H45</f>
        <v>1068</v>
      </c>
      <c r="I45" s="160" t="s">
        <v>15</v>
      </c>
      <c r="J45" s="160" t="s">
        <v>15</v>
      </c>
      <c r="K45" s="160" t="s">
        <v>15</v>
      </c>
      <c r="L45" s="160" t="s">
        <v>15</v>
      </c>
      <c r="M45" s="160" t="s">
        <v>15</v>
      </c>
      <c r="N45" s="160" t="s">
        <v>15</v>
      </c>
      <c r="O45" s="177">
        <f>'026'!O45</f>
        <v>4</v>
      </c>
      <c r="P45" s="177">
        <f>'026'!P45</f>
        <v>24</v>
      </c>
      <c r="Q45" s="160" t="s">
        <v>15</v>
      </c>
      <c r="R45" s="160" t="s">
        <v>15</v>
      </c>
      <c r="S45" s="160" t="s">
        <v>15</v>
      </c>
      <c r="T45" s="160" t="s">
        <v>15</v>
      </c>
      <c r="U45" s="160" t="s">
        <v>15</v>
      </c>
      <c r="V45" s="160" t="s">
        <v>15</v>
      </c>
      <c r="W45" s="160" t="s">
        <v>15</v>
      </c>
      <c r="X45" s="160" t="s">
        <v>15</v>
      </c>
      <c r="Y45" s="160" t="s">
        <v>15</v>
      </c>
      <c r="Z45" s="160" t="s">
        <v>15</v>
      </c>
      <c r="AA45" s="177">
        <f>'026'!AA45-'028'!AA45</f>
        <v>3</v>
      </c>
      <c r="AB45" s="177">
        <f>'026'!AB45-'028'!AB45</f>
        <v>72</v>
      </c>
      <c r="AC45" s="160" t="s">
        <v>15</v>
      </c>
      <c r="AD45" s="160" t="s">
        <v>15</v>
      </c>
      <c r="AE45" s="177">
        <f>'026'!AE45-'028'!AE45</f>
        <v>1</v>
      </c>
      <c r="AF45" s="177">
        <f>'026'!AF45-'028'!AF45</f>
        <v>8</v>
      </c>
      <c r="AG45" s="177">
        <f>'026'!AG45-'028'!AG45</f>
        <v>34</v>
      </c>
      <c r="AH45" s="177">
        <f>'026'!AH45-'028'!AH45</f>
        <v>342</v>
      </c>
      <c r="AI45" s="177">
        <f>'026'!AI45-'028'!AI45</f>
        <v>10</v>
      </c>
      <c r="AJ45" s="177">
        <f>'026'!AJ45-'028'!AJ45</f>
        <v>243</v>
      </c>
      <c r="AK45" s="160" t="s">
        <v>15</v>
      </c>
      <c r="AL45" s="160" t="s">
        <v>15</v>
      </c>
      <c r="AM45" s="177">
        <f>'026'!AM45-'028'!AM45</f>
        <v>4</v>
      </c>
      <c r="AN45" s="177">
        <f>'026'!AN45-'028'!AN45</f>
        <v>26</v>
      </c>
      <c r="AO45" s="177">
        <f>'026'!AO45-'028'!AO45</f>
        <v>24</v>
      </c>
      <c r="AP45" s="177">
        <f>'026'!AP45-'028'!AP45</f>
        <v>353</v>
      </c>
    </row>
    <row r="46" spans="1:42" ht="30" customHeight="1">
      <c r="A46" s="129"/>
      <c r="B46" s="130"/>
      <c r="C46" s="93"/>
      <c r="D46" s="93"/>
      <c r="E46" s="141"/>
      <c r="F46" s="141"/>
      <c r="G46" s="93"/>
      <c r="H46" s="93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31"/>
      <c r="AH46" s="131"/>
      <c r="AI46" s="141"/>
      <c r="AJ46" s="141"/>
      <c r="AK46" s="131"/>
      <c r="AL46" s="131"/>
      <c r="AM46" s="141"/>
      <c r="AN46" s="141"/>
      <c r="AO46" s="141"/>
      <c r="AP46" s="141"/>
    </row>
    <row r="47" spans="1:38" ht="23.25" customHeight="1">
      <c r="A47" s="182" t="s">
        <v>148</v>
      </c>
      <c r="H47" s="88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81"/>
      <c r="AD47" s="80"/>
      <c r="AE47" s="123"/>
      <c r="AF47" s="123"/>
      <c r="AG47" s="88"/>
      <c r="AH47" s="88"/>
      <c r="AI47" s="126"/>
      <c r="AJ47" s="126"/>
      <c r="AK47" s="126"/>
      <c r="AL47" s="132"/>
    </row>
    <row r="48" spans="1:38" ht="23.25" customHeight="1">
      <c r="A48" s="182" t="s">
        <v>239</v>
      </c>
      <c r="H48" s="88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81"/>
      <c r="AD48" s="80"/>
      <c r="AE48" s="123"/>
      <c r="AF48" s="123"/>
      <c r="AG48" s="88"/>
      <c r="AH48" s="88"/>
      <c r="AI48" s="126"/>
      <c r="AJ48" s="126"/>
      <c r="AK48" s="126"/>
      <c r="AL48" s="126"/>
    </row>
    <row r="49" spans="1:38" ht="15" customHeight="1">
      <c r="A49" s="124"/>
      <c r="B49" s="133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</row>
    <row r="50" spans="1:38" ht="15" customHeight="1">
      <c r="A50" s="307"/>
      <c r="B50" s="307"/>
      <c r="C50" s="82"/>
      <c r="D50" s="82"/>
      <c r="E50" s="123"/>
      <c r="F50" s="123"/>
      <c r="G50" s="82"/>
      <c r="H50" s="8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82"/>
      <c r="AD50" s="82"/>
      <c r="AE50" s="123"/>
      <c r="AF50" s="123"/>
      <c r="AG50" s="82"/>
      <c r="AH50" s="82"/>
      <c r="AI50" s="123"/>
      <c r="AJ50" s="123"/>
      <c r="AK50" s="123"/>
      <c r="AL50" s="123"/>
    </row>
    <row r="51" spans="1:38" ht="15" customHeight="1">
      <c r="A51" s="127"/>
      <c r="B51" s="133"/>
      <c r="C51" s="81"/>
      <c r="D51" s="80"/>
      <c r="E51" s="123"/>
      <c r="F51" s="123"/>
      <c r="G51" s="88"/>
      <c r="H51" s="88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81"/>
      <c r="AD51" s="80"/>
      <c r="AE51" s="123"/>
      <c r="AF51" s="123"/>
      <c r="AG51" s="88"/>
      <c r="AH51" s="88"/>
      <c r="AI51" s="126"/>
      <c r="AJ51" s="126"/>
      <c r="AK51" s="126"/>
      <c r="AL51" s="126"/>
    </row>
    <row r="52" spans="1:38" ht="15" customHeight="1">
      <c r="A52" s="127"/>
      <c r="B52" s="133"/>
      <c r="C52" s="81"/>
      <c r="D52" s="80"/>
      <c r="E52" s="123"/>
      <c r="F52" s="123"/>
      <c r="G52" s="88"/>
      <c r="H52" s="88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81"/>
      <c r="AD52" s="80"/>
      <c r="AE52" s="123"/>
      <c r="AF52" s="123"/>
      <c r="AG52" s="88"/>
      <c r="AH52" s="88"/>
      <c r="AI52" s="126"/>
      <c r="AJ52" s="126"/>
      <c r="AK52" s="126"/>
      <c r="AL52" s="126"/>
    </row>
    <row r="53" spans="1:38" ht="15" customHeight="1">
      <c r="A53" s="127"/>
      <c r="B53" s="133"/>
      <c r="C53" s="81"/>
      <c r="D53" s="80"/>
      <c r="E53" s="123"/>
      <c r="F53" s="123"/>
      <c r="G53" s="88"/>
      <c r="H53" s="88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81"/>
      <c r="AD53" s="80"/>
      <c r="AE53" s="123"/>
      <c r="AF53" s="123"/>
      <c r="AG53" s="88"/>
      <c r="AH53" s="88"/>
      <c r="AI53" s="126"/>
      <c r="AJ53" s="126"/>
      <c r="AK53" s="126"/>
      <c r="AL53" s="126"/>
    </row>
    <row r="54" spans="1:38" ht="15" customHeight="1">
      <c r="A54" s="127"/>
      <c r="B54" s="133"/>
      <c r="C54" s="81"/>
      <c r="D54" s="80"/>
      <c r="E54" s="123"/>
      <c r="F54" s="123"/>
      <c r="G54" s="88"/>
      <c r="H54" s="88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81"/>
      <c r="AD54" s="80"/>
      <c r="AE54" s="123"/>
      <c r="AF54" s="123"/>
      <c r="AG54" s="88"/>
      <c r="AH54" s="88"/>
      <c r="AI54" s="126"/>
      <c r="AJ54" s="126"/>
      <c r="AK54" s="126"/>
      <c r="AL54" s="126"/>
    </row>
    <row r="55" spans="1:38" ht="15" customHeight="1">
      <c r="A55" s="127"/>
      <c r="B55" s="133"/>
      <c r="C55" s="118"/>
      <c r="D55" s="118"/>
      <c r="E55" s="123"/>
      <c r="F55" s="123"/>
      <c r="G55" s="118"/>
      <c r="H55" s="118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18"/>
      <c r="AD55" s="118"/>
      <c r="AE55" s="123"/>
      <c r="AF55" s="123"/>
      <c r="AG55" s="118"/>
      <c r="AH55" s="118"/>
      <c r="AI55" s="123"/>
      <c r="AJ55" s="123"/>
      <c r="AK55" s="123"/>
      <c r="AL55" s="123"/>
    </row>
    <row r="56" spans="1:38" ht="15" customHeight="1">
      <c r="A56" s="307"/>
      <c r="B56" s="307"/>
      <c r="C56" s="82"/>
      <c r="D56" s="82"/>
      <c r="E56" s="123"/>
      <c r="F56" s="123"/>
      <c r="G56" s="82"/>
      <c r="H56" s="82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82"/>
      <c r="AD56" s="82"/>
      <c r="AE56" s="123"/>
      <c r="AF56" s="123"/>
      <c r="AG56" s="82"/>
      <c r="AH56" s="82"/>
      <c r="AI56" s="123"/>
      <c r="AJ56" s="123"/>
      <c r="AK56" s="123"/>
      <c r="AL56" s="123"/>
    </row>
    <row r="57" spans="1:38" ht="15" customHeight="1">
      <c r="A57" s="124"/>
      <c r="B57" s="133"/>
      <c r="C57" s="81"/>
      <c r="D57" s="80"/>
      <c r="E57" s="123"/>
      <c r="F57" s="123"/>
      <c r="G57" s="88"/>
      <c r="H57" s="88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81"/>
      <c r="AD57" s="80"/>
      <c r="AE57" s="123"/>
      <c r="AF57" s="123"/>
      <c r="AG57" s="88"/>
      <c r="AH57" s="88"/>
      <c r="AI57" s="126"/>
      <c r="AJ57" s="126"/>
      <c r="AK57" s="126"/>
      <c r="AL57" s="126"/>
    </row>
    <row r="58" spans="1:38" ht="15" customHeight="1">
      <c r="A58" s="124"/>
      <c r="B58" s="133"/>
      <c r="C58" s="81"/>
      <c r="D58" s="80"/>
      <c r="E58" s="123"/>
      <c r="F58" s="123"/>
      <c r="G58" s="88"/>
      <c r="H58" s="88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81"/>
      <c r="AD58" s="80"/>
      <c r="AE58" s="123"/>
      <c r="AF58" s="123"/>
      <c r="AG58" s="88"/>
      <c r="AH58" s="88"/>
      <c r="AI58" s="126"/>
      <c r="AJ58" s="126"/>
      <c r="AK58" s="126"/>
      <c r="AL58" s="126"/>
    </row>
    <row r="59" spans="1:38" ht="15" customHeight="1">
      <c r="A59" s="124"/>
      <c r="B59" s="133"/>
      <c r="C59" s="81"/>
      <c r="D59" s="80"/>
      <c r="E59" s="123"/>
      <c r="F59" s="123"/>
      <c r="G59" s="88"/>
      <c r="H59" s="88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81"/>
      <c r="AD59" s="80"/>
      <c r="AE59" s="123"/>
      <c r="AF59" s="123"/>
      <c r="AG59" s="88"/>
      <c r="AH59" s="88"/>
      <c r="AI59" s="126"/>
      <c r="AJ59" s="126"/>
      <c r="AK59" s="126"/>
      <c r="AL59" s="126"/>
    </row>
    <row r="60" spans="1:38" ht="15" customHeight="1">
      <c r="A60" s="124"/>
      <c r="B60" s="133"/>
      <c r="C60" s="81"/>
      <c r="D60" s="80"/>
      <c r="E60" s="123"/>
      <c r="F60" s="123"/>
      <c r="G60" s="88"/>
      <c r="H60" s="88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81"/>
      <c r="AD60" s="80"/>
      <c r="AE60" s="123"/>
      <c r="AF60" s="123"/>
      <c r="AG60" s="88"/>
      <c r="AH60" s="88"/>
      <c r="AI60" s="126"/>
      <c r="AJ60" s="126"/>
      <c r="AK60" s="126"/>
      <c r="AL60" s="126"/>
    </row>
    <row r="61" spans="1:38" ht="15" customHeight="1">
      <c r="A61" s="124"/>
      <c r="B61" s="133"/>
      <c r="C61" s="81"/>
      <c r="D61" s="80"/>
      <c r="E61" s="123"/>
      <c r="F61" s="123"/>
      <c r="G61" s="88"/>
      <c r="H61" s="88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81"/>
      <c r="AD61" s="80"/>
      <c r="AE61" s="123"/>
      <c r="AF61" s="123"/>
      <c r="AG61" s="88"/>
      <c r="AH61" s="88"/>
      <c r="AI61" s="126"/>
      <c r="AJ61" s="126"/>
      <c r="AK61" s="126"/>
      <c r="AL61" s="126"/>
    </row>
    <row r="62" spans="1:38" ht="15" customHeight="1">
      <c r="A62" s="124"/>
      <c r="B62" s="133"/>
      <c r="C62" s="81"/>
      <c r="D62" s="80"/>
      <c r="E62" s="123"/>
      <c r="F62" s="123"/>
      <c r="G62" s="88"/>
      <c r="H62" s="88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81"/>
      <c r="AD62" s="80"/>
      <c r="AE62" s="123"/>
      <c r="AF62" s="123"/>
      <c r="AG62" s="88"/>
      <c r="AH62" s="88"/>
      <c r="AI62" s="126"/>
      <c r="AJ62" s="126"/>
      <c r="AK62" s="126"/>
      <c r="AL62" s="126"/>
    </row>
    <row r="63" spans="1:38" ht="15" customHeight="1">
      <c r="A63" s="124"/>
      <c r="B63" s="133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</row>
    <row r="64" spans="1:38" ht="15" customHeight="1">
      <c r="A64" s="307"/>
      <c r="B64" s="307"/>
      <c r="C64" s="82"/>
      <c r="D64" s="82"/>
      <c r="E64" s="123"/>
      <c r="F64" s="123"/>
      <c r="G64" s="82"/>
      <c r="H64" s="82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82"/>
      <c r="AD64" s="82"/>
      <c r="AE64" s="123"/>
      <c r="AF64" s="123"/>
      <c r="AG64" s="82"/>
      <c r="AH64" s="82"/>
      <c r="AI64" s="123"/>
      <c r="AJ64" s="123"/>
      <c r="AK64" s="123"/>
      <c r="AL64" s="123"/>
    </row>
    <row r="65" spans="1:38" ht="15" customHeight="1">
      <c r="A65" s="124"/>
      <c r="B65" s="133"/>
      <c r="C65" s="81"/>
      <c r="D65" s="80"/>
      <c r="E65" s="123"/>
      <c r="F65" s="123"/>
      <c r="G65" s="88"/>
      <c r="H65" s="88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81"/>
      <c r="AD65" s="80"/>
      <c r="AE65" s="123"/>
      <c r="AF65" s="123"/>
      <c r="AG65" s="88"/>
      <c r="AH65" s="88"/>
      <c r="AI65" s="126"/>
      <c r="AJ65" s="126"/>
      <c r="AK65" s="126"/>
      <c r="AL65" s="126"/>
    </row>
    <row r="66" spans="1:38" ht="15" customHeight="1">
      <c r="A66" s="124"/>
      <c r="B66" s="133"/>
      <c r="C66" s="81"/>
      <c r="D66" s="80"/>
      <c r="E66" s="123"/>
      <c r="F66" s="123"/>
      <c r="G66" s="88"/>
      <c r="H66" s="88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81"/>
      <c r="AD66" s="80"/>
      <c r="AE66" s="123"/>
      <c r="AF66" s="123"/>
      <c r="AG66" s="88"/>
      <c r="AH66" s="88"/>
      <c r="AI66" s="126"/>
      <c r="AJ66" s="126"/>
      <c r="AK66" s="126"/>
      <c r="AL66" s="126"/>
    </row>
    <row r="67" spans="1:38" ht="15" customHeight="1">
      <c r="A67" s="124"/>
      <c r="B67" s="133"/>
      <c r="C67" s="81"/>
      <c r="D67" s="80"/>
      <c r="E67" s="123"/>
      <c r="F67" s="123"/>
      <c r="G67" s="88"/>
      <c r="H67" s="88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81"/>
      <c r="AD67" s="80"/>
      <c r="AE67" s="123"/>
      <c r="AF67" s="123"/>
      <c r="AG67" s="88"/>
      <c r="AH67" s="88"/>
      <c r="AI67" s="126"/>
      <c r="AJ67" s="126"/>
      <c r="AK67" s="126"/>
      <c r="AL67" s="126"/>
    </row>
    <row r="68" spans="1:38" ht="15" customHeight="1">
      <c r="A68" s="124"/>
      <c r="B68" s="133"/>
      <c r="C68" s="81"/>
      <c r="D68" s="80"/>
      <c r="E68" s="123"/>
      <c r="F68" s="123"/>
      <c r="G68" s="88"/>
      <c r="H68" s="88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81"/>
      <c r="AD68" s="80"/>
      <c r="AE68" s="123"/>
      <c r="AF68" s="123"/>
      <c r="AG68" s="88"/>
      <c r="AH68" s="88"/>
      <c r="AI68" s="126"/>
      <c r="AJ68" s="126"/>
      <c r="AK68" s="126"/>
      <c r="AL68" s="126"/>
    </row>
    <row r="69" spans="1:38" ht="15" customHeight="1">
      <c r="A69" s="124"/>
      <c r="B69" s="133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</row>
    <row r="70" spans="1:38" ht="15" customHeight="1">
      <c r="A70" s="307"/>
      <c r="B70" s="307"/>
      <c r="C70" s="82"/>
      <c r="D70" s="82"/>
      <c r="E70" s="82"/>
      <c r="F70" s="82"/>
      <c r="G70" s="82"/>
      <c r="H70" s="82"/>
      <c r="I70" s="123"/>
      <c r="J70" s="123"/>
      <c r="K70" s="123"/>
      <c r="L70" s="123"/>
      <c r="M70" s="123"/>
      <c r="N70" s="123"/>
      <c r="O70" s="123"/>
      <c r="P70" s="82"/>
      <c r="Q70" s="123"/>
      <c r="R70" s="82"/>
      <c r="S70" s="123"/>
      <c r="T70" s="123"/>
      <c r="U70" s="123"/>
      <c r="V70" s="123"/>
      <c r="W70" s="123"/>
      <c r="X70" s="123"/>
      <c r="Y70" s="123"/>
      <c r="Z70" s="82"/>
      <c r="AA70" s="123"/>
      <c r="AB70" s="82"/>
      <c r="AC70" s="82"/>
      <c r="AD70" s="82"/>
      <c r="AE70" s="82"/>
      <c r="AF70" s="82"/>
      <c r="AG70" s="82"/>
      <c r="AH70" s="82"/>
      <c r="AI70" s="123"/>
      <c r="AJ70" s="123"/>
      <c r="AK70" s="123"/>
      <c r="AL70" s="123"/>
    </row>
    <row r="71" spans="1:45" ht="15" customHeight="1">
      <c r="A71" s="124"/>
      <c r="B71" s="133"/>
      <c r="C71" s="88"/>
      <c r="D71" s="80"/>
      <c r="E71" s="123"/>
      <c r="F71" s="123"/>
      <c r="G71" s="88"/>
      <c r="H71" s="88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88"/>
      <c r="AD71" s="80"/>
      <c r="AE71" s="123"/>
      <c r="AF71" s="123"/>
      <c r="AG71" s="88"/>
      <c r="AH71" s="88"/>
      <c r="AI71" s="126"/>
      <c r="AJ71" s="126"/>
      <c r="AK71" s="126"/>
      <c r="AL71" s="126"/>
      <c r="AM71" s="15"/>
      <c r="AN71" s="15"/>
      <c r="AO71" s="15"/>
      <c r="AP71" s="15"/>
      <c r="AQ71" s="15"/>
      <c r="AR71" s="15"/>
      <c r="AS71" s="15"/>
    </row>
    <row r="72" ht="15" customHeight="1"/>
    <row r="73" ht="15" customHeight="1"/>
  </sheetData>
  <sheetProtection/>
  <mergeCells count="87">
    <mergeCell ref="A70:B70"/>
    <mergeCell ref="A24:B24"/>
    <mergeCell ref="A64:B64"/>
    <mergeCell ref="A56:B56"/>
    <mergeCell ref="A43:B43"/>
    <mergeCell ref="A50:B50"/>
    <mergeCell ref="A32:B32"/>
    <mergeCell ref="A36:B36"/>
    <mergeCell ref="A40:B40"/>
    <mergeCell ref="E7:E8"/>
    <mergeCell ref="AA5:AB6"/>
    <mergeCell ref="C7:C8"/>
    <mergeCell ref="A21:B21"/>
    <mergeCell ref="A18:B18"/>
    <mergeCell ref="D7:D8"/>
    <mergeCell ref="A14:B14"/>
    <mergeCell ref="A15:B15"/>
    <mergeCell ref="A16:B16"/>
    <mergeCell ref="A19:B19"/>
    <mergeCell ref="A5:B8"/>
    <mergeCell ref="A10:B10"/>
    <mergeCell ref="A17:B17"/>
    <mergeCell ref="A20:B20"/>
    <mergeCell ref="A23:B23"/>
    <mergeCell ref="A26:B26"/>
    <mergeCell ref="A29:B29"/>
    <mergeCell ref="A12:B12"/>
    <mergeCell ref="A22:B22"/>
    <mergeCell ref="M5:N6"/>
    <mergeCell ref="C5:D6"/>
    <mergeCell ref="A11:B11"/>
    <mergeCell ref="V7:V8"/>
    <mergeCell ref="I7:I8"/>
    <mergeCell ref="E5:F6"/>
    <mergeCell ref="G5:H6"/>
    <mergeCell ref="I5:J6"/>
    <mergeCell ref="J7:J8"/>
    <mergeCell ref="K5:L6"/>
    <mergeCell ref="M7:M8"/>
    <mergeCell ref="N7:N8"/>
    <mergeCell ref="R7:R8"/>
    <mergeCell ref="S7:S8"/>
    <mergeCell ref="O7:O8"/>
    <mergeCell ref="P7:P8"/>
    <mergeCell ref="Q7:Q8"/>
    <mergeCell ref="L7:L8"/>
    <mergeCell ref="K7:K8"/>
    <mergeCell ref="H7:H8"/>
    <mergeCell ref="F7:F8"/>
    <mergeCell ref="G7:G8"/>
    <mergeCell ref="Y5:Z6"/>
    <mergeCell ref="S5:T6"/>
    <mergeCell ref="U5:V6"/>
    <mergeCell ref="AL7:AL8"/>
    <mergeCell ref="AK7:AK8"/>
    <mergeCell ref="Z7:Z8"/>
    <mergeCell ref="X7:X8"/>
    <mergeCell ref="U7:U8"/>
    <mergeCell ref="AI7:AI8"/>
    <mergeCell ref="AA7:AA8"/>
    <mergeCell ref="AG7:AG8"/>
    <mergeCell ref="T7:T8"/>
    <mergeCell ref="AE7:AE8"/>
    <mergeCell ref="AJ7:AJ8"/>
    <mergeCell ref="AH7:AH8"/>
    <mergeCell ref="AB7:AB8"/>
    <mergeCell ref="W7:W8"/>
    <mergeCell ref="Y7:Y8"/>
    <mergeCell ref="AC7:AC8"/>
    <mergeCell ref="AD7:AD8"/>
    <mergeCell ref="AC5:AD6"/>
    <mergeCell ref="AE5:AF6"/>
    <mergeCell ref="AF7:AF8"/>
    <mergeCell ref="A2:AP2"/>
    <mergeCell ref="A3:AP3"/>
    <mergeCell ref="AM5:AN6"/>
    <mergeCell ref="AO5:AP6"/>
    <mergeCell ref="O5:P6"/>
    <mergeCell ref="W5:X6"/>
    <mergeCell ref="Q5:R6"/>
    <mergeCell ref="AK5:AL6"/>
    <mergeCell ref="AI5:AJ6"/>
    <mergeCell ref="AG5:AH6"/>
    <mergeCell ref="AM7:AM8"/>
    <mergeCell ref="AN7:AN8"/>
    <mergeCell ref="AO7:AO8"/>
    <mergeCell ref="AP7:AP8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8"/>
  <sheetViews>
    <sheetView tabSelected="1" zoomScale="75" zoomScaleNormal="75" zoomScalePageLayoutView="0" workbookViewId="0" topLeftCell="A21">
      <selection activeCell="A46" sqref="A45:A46"/>
    </sheetView>
  </sheetViews>
  <sheetFormatPr defaultColWidth="10.69921875" defaultRowHeight="15"/>
  <cols>
    <col min="1" max="2" width="2.19921875" style="34" customWidth="1"/>
    <col min="3" max="3" width="40.69921875" style="34" customWidth="1"/>
    <col min="4" max="4" width="8.69921875" style="34" customWidth="1"/>
    <col min="5" max="5" width="10" style="34" customWidth="1"/>
    <col min="6" max="10" width="8.69921875" style="34" customWidth="1"/>
    <col min="11" max="11" width="10" style="34" customWidth="1"/>
    <col min="12" max="19" width="8.69921875" style="34" customWidth="1"/>
    <col min="20" max="20" width="9.69921875" style="34" customWidth="1"/>
    <col min="21" max="16384" width="10.69921875" style="34" customWidth="1"/>
  </cols>
  <sheetData>
    <row r="1" spans="1:20" s="98" customFormat="1" ht="19.5" customHeight="1">
      <c r="A1" s="97" t="s">
        <v>46</v>
      </c>
      <c r="T1" s="99" t="s">
        <v>47</v>
      </c>
    </row>
    <row r="2" spans="1:20" ht="19.5" customHeight="1">
      <c r="A2" s="325" t="s">
        <v>48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6"/>
    </row>
    <row r="3" spans="2:20" ht="18" customHeight="1" thickBot="1"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41" t="s">
        <v>248</v>
      </c>
    </row>
    <row r="4" spans="1:20" ht="25.5" customHeight="1">
      <c r="A4" s="333" t="s">
        <v>130</v>
      </c>
      <c r="B4" s="333"/>
      <c r="C4" s="334"/>
      <c r="D4" s="339" t="s">
        <v>131</v>
      </c>
      <c r="E4" s="340"/>
      <c r="F4" s="339" t="s">
        <v>132</v>
      </c>
      <c r="G4" s="340"/>
      <c r="H4" s="339" t="s">
        <v>170</v>
      </c>
      <c r="I4" s="340"/>
      <c r="J4" s="339" t="s">
        <v>171</v>
      </c>
      <c r="K4" s="340"/>
      <c r="L4" s="339" t="s">
        <v>172</v>
      </c>
      <c r="M4" s="340"/>
      <c r="N4" s="339" t="s">
        <v>49</v>
      </c>
      <c r="O4" s="340"/>
      <c r="P4" s="339" t="s">
        <v>50</v>
      </c>
      <c r="Q4" s="340"/>
      <c r="R4" s="339" t="s">
        <v>51</v>
      </c>
      <c r="S4" s="343"/>
      <c r="T4" s="77" t="s">
        <v>109</v>
      </c>
    </row>
    <row r="5" spans="1:20" ht="16.5" customHeight="1">
      <c r="A5" s="335"/>
      <c r="B5" s="335"/>
      <c r="C5" s="336"/>
      <c r="D5" s="331" t="s">
        <v>52</v>
      </c>
      <c r="E5" s="331" t="s">
        <v>53</v>
      </c>
      <c r="F5" s="331" t="s">
        <v>52</v>
      </c>
      <c r="G5" s="331" t="s">
        <v>53</v>
      </c>
      <c r="H5" s="331" t="s">
        <v>52</v>
      </c>
      <c r="I5" s="331" t="s">
        <v>53</v>
      </c>
      <c r="J5" s="331" t="s">
        <v>52</v>
      </c>
      <c r="K5" s="331" t="s">
        <v>53</v>
      </c>
      <c r="L5" s="331" t="s">
        <v>52</v>
      </c>
      <c r="M5" s="331" t="s">
        <v>53</v>
      </c>
      <c r="N5" s="331" t="s">
        <v>52</v>
      </c>
      <c r="O5" s="331" t="s">
        <v>53</v>
      </c>
      <c r="P5" s="331" t="s">
        <v>52</v>
      </c>
      <c r="Q5" s="331" t="s">
        <v>53</v>
      </c>
      <c r="R5" s="331" t="s">
        <v>52</v>
      </c>
      <c r="S5" s="341" t="s">
        <v>53</v>
      </c>
      <c r="T5" s="341" t="s">
        <v>52</v>
      </c>
    </row>
    <row r="6" spans="1:20" ht="16.5" customHeight="1">
      <c r="A6" s="337"/>
      <c r="B6" s="337"/>
      <c r="C6" s="338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42"/>
      <c r="T6" s="342"/>
    </row>
    <row r="7" spans="1:19" ht="19.5" customHeight="1">
      <c r="A7" s="102"/>
      <c r="B7" s="102"/>
      <c r="C7" s="103"/>
      <c r="E7" s="89"/>
      <c r="F7" s="104"/>
      <c r="G7" s="89"/>
      <c r="H7" s="104"/>
      <c r="I7" s="89"/>
      <c r="J7" s="104"/>
      <c r="K7" s="89"/>
      <c r="L7" s="89"/>
      <c r="M7" s="89"/>
      <c r="N7" s="104"/>
      <c r="O7" s="89"/>
      <c r="P7" s="104"/>
      <c r="Q7" s="89"/>
      <c r="R7" s="104"/>
      <c r="S7" s="89"/>
    </row>
    <row r="8" spans="2:234" s="39" customFormat="1" ht="19.5" customHeight="1">
      <c r="B8" s="308" t="s">
        <v>145</v>
      </c>
      <c r="C8" s="234"/>
      <c r="D8" s="105">
        <v>64678</v>
      </c>
      <c r="E8" s="105">
        <v>531585</v>
      </c>
      <c r="F8" s="89">
        <v>41163</v>
      </c>
      <c r="G8" s="89">
        <v>88128</v>
      </c>
      <c r="H8" s="89">
        <v>11947</v>
      </c>
      <c r="I8" s="89">
        <v>77722</v>
      </c>
      <c r="J8" s="89">
        <v>8587</v>
      </c>
      <c r="K8" s="89">
        <v>136334</v>
      </c>
      <c r="L8" s="89">
        <v>1470</v>
      </c>
      <c r="M8" s="89">
        <v>55252</v>
      </c>
      <c r="N8" s="89">
        <v>905</v>
      </c>
      <c r="O8" s="89">
        <v>62051</v>
      </c>
      <c r="P8" s="89">
        <v>429</v>
      </c>
      <c r="Q8" s="89">
        <v>67585</v>
      </c>
      <c r="R8" s="89">
        <v>85</v>
      </c>
      <c r="S8" s="89">
        <v>44513</v>
      </c>
      <c r="T8" s="41">
        <v>92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</row>
    <row r="9" spans="1:234" s="25" customFormat="1" ht="19.5" customHeight="1">
      <c r="A9" s="107" t="s">
        <v>54</v>
      </c>
      <c r="B9" s="321" t="s">
        <v>251</v>
      </c>
      <c r="C9" s="322"/>
      <c r="D9" s="108">
        <f>F9+H9+J9+L9+N9+P9+R9+T9</f>
        <v>66090</v>
      </c>
      <c r="E9" s="108">
        <f>G9+I9+K9+M9+O9+Q9+S9</f>
        <v>564044</v>
      </c>
      <c r="F9" s="108">
        <f>F12+F17</f>
        <v>41016</v>
      </c>
      <c r="G9" s="108">
        <f aca="true" t="shared" si="0" ref="G9:T9">G12+G17</f>
        <v>87947</v>
      </c>
      <c r="H9" s="108">
        <f t="shared" si="0"/>
        <v>12292</v>
      </c>
      <c r="I9" s="108">
        <f t="shared" si="0"/>
        <v>79861</v>
      </c>
      <c r="J9" s="108">
        <f t="shared" si="0"/>
        <v>9104</v>
      </c>
      <c r="K9" s="108">
        <f t="shared" si="0"/>
        <v>144479</v>
      </c>
      <c r="L9" s="108">
        <f t="shared" si="0"/>
        <v>1556</v>
      </c>
      <c r="M9" s="108">
        <f t="shared" si="0"/>
        <v>58273</v>
      </c>
      <c r="N9" s="108">
        <f t="shared" si="0"/>
        <v>984</v>
      </c>
      <c r="O9" s="108">
        <f t="shared" si="0"/>
        <v>66589</v>
      </c>
      <c r="P9" s="108">
        <f t="shared" si="0"/>
        <v>473</v>
      </c>
      <c r="Q9" s="108">
        <f t="shared" si="0"/>
        <v>73032</v>
      </c>
      <c r="R9" s="108">
        <f>R17</f>
        <v>94</v>
      </c>
      <c r="S9" s="108">
        <f>S17</f>
        <v>53863</v>
      </c>
      <c r="T9" s="108">
        <f t="shared" si="0"/>
        <v>571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</row>
    <row r="10" spans="1:234" ht="19.5" customHeight="1">
      <c r="A10" s="329" t="s">
        <v>55</v>
      </c>
      <c r="B10" s="329"/>
      <c r="C10" s="330"/>
      <c r="D10" s="109">
        <f>(D9-D8)/D8*100</f>
        <v>2.183122545533257</v>
      </c>
      <c r="E10" s="109">
        <f aca="true" t="shared" si="1" ref="E10:T10">(E9-E8)/E8*100</f>
        <v>6.106078990189716</v>
      </c>
      <c r="F10" s="109">
        <f t="shared" si="1"/>
        <v>-0.3571168282195175</v>
      </c>
      <c r="G10" s="109">
        <f t="shared" si="1"/>
        <v>-0.20538307915758894</v>
      </c>
      <c r="H10" s="109">
        <f t="shared" si="1"/>
        <v>2.88775424792835</v>
      </c>
      <c r="I10" s="109">
        <f t="shared" si="1"/>
        <v>2.7521165178456553</v>
      </c>
      <c r="J10" s="109">
        <f t="shared" si="1"/>
        <v>6.020729008967043</v>
      </c>
      <c r="K10" s="109">
        <f t="shared" si="1"/>
        <v>5.9742984141886835</v>
      </c>
      <c r="L10" s="109">
        <f t="shared" si="1"/>
        <v>5.850340136054422</v>
      </c>
      <c r="M10" s="109">
        <f t="shared" si="1"/>
        <v>5.46767537826685</v>
      </c>
      <c r="N10" s="109">
        <f t="shared" si="1"/>
        <v>8.729281767955802</v>
      </c>
      <c r="O10" s="109">
        <f t="shared" si="1"/>
        <v>7.313339027574092</v>
      </c>
      <c r="P10" s="109">
        <f t="shared" si="1"/>
        <v>10.256410256410255</v>
      </c>
      <c r="Q10" s="109">
        <f t="shared" si="1"/>
        <v>8.05948065399127</v>
      </c>
      <c r="R10" s="109">
        <f t="shared" si="1"/>
        <v>10.588235294117647</v>
      </c>
      <c r="S10" s="109">
        <f t="shared" si="1"/>
        <v>21.00509963381484</v>
      </c>
      <c r="T10" s="109">
        <f t="shared" si="1"/>
        <v>520.6521739130435</v>
      </c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</row>
    <row r="11" spans="1:234" s="39" customFormat="1" ht="19.5" customHeight="1">
      <c r="A11" s="102"/>
      <c r="B11" s="327"/>
      <c r="C11" s="328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</row>
    <row r="12" spans="1:20" s="25" customFormat="1" ht="19.5" customHeight="1">
      <c r="A12" s="323" t="s">
        <v>56</v>
      </c>
      <c r="B12" s="323"/>
      <c r="C12" s="324"/>
      <c r="D12" s="108">
        <f>F12+H12+J12+L12+N12+P12+T12</f>
        <v>402</v>
      </c>
      <c r="E12" s="108">
        <f>G12+I12+K12+M12+O12+Q12</f>
        <v>4555</v>
      </c>
      <c r="F12" s="108">
        <f>F13+F14+F15</f>
        <v>113</v>
      </c>
      <c r="G12" s="108">
        <f aca="true" t="shared" si="2" ref="G12:O12">G13+G14+G15</f>
        <v>260</v>
      </c>
      <c r="H12" s="108">
        <f t="shared" si="2"/>
        <v>130</v>
      </c>
      <c r="I12" s="108">
        <f t="shared" si="2"/>
        <v>859</v>
      </c>
      <c r="J12" s="108">
        <f t="shared" si="2"/>
        <v>123</v>
      </c>
      <c r="K12" s="108">
        <f t="shared" si="2"/>
        <v>1961</v>
      </c>
      <c r="L12" s="108">
        <f t="shared" si="2"/>
        <v>20</v>
      </c>
      <c r="M12" s="108">
        <f t="shared" si="2"/>
        <v>729</v>
      </c>
      <c r="N12" s="108">
        <f t="shared" si="2"/>
        <v>11</v>
      </c>
      <c r="O12" s="108">
        <f t="shared" si="2"/>
        <v>639</v>
      </c>
      <c r="P12" s="108">
        <f>P15</f>
        <v>1</v>
      </c>
      <c r="Q12" s="108">
        <f>Q15</f>
        <v>107</v>
      </c>
      <c r="R12" s="83" t="s">
        <v>15</v>
      </c>
      <c r="S12" s="83" t="s">
        <v>15</v>
      </c>
      <c r="T12" s="108">
        <f>T13+T14</f>
        <v>4</v>
      </c>
    </row>
    <row r="13" spans="1:20" s="25" customFormat="1" ht="19.5" customHeight="1">
      <c r="A13" s="112" t="s">
        <v>7</v>
      </c>
      <c r="B13" s="323" t="s">
        <v>57</v>
      </c>
      <c r="C13" s="324"/>
      <c r="D13" s="108">
        <f>F13+H13+J13+L13+N13+T13</f>
        <v>271</v>
      </c>
      <c r="E13" s="108">
        <f>G13+I13+K13+M13+O13</f>
        <v>2452</v>
      </c>
      <c r="F13" s="83">
        <v>89</v>
      </c>
      <c r="G13" s="83">
        <v>204</v>
      </c>
      <c r="H13" s="83">
        <v>93</v>
      </c>
      <c r="I13" s="83">
        <v>618</v>
      </c>
      <c r="J13" s="83">
        <f>61+14</f>
        <v>75</v>
      </c>
      <c r="K13" s="83">
        <f>818+334</f>
        <v>1152</v>
      </c>
      <c r="L13" s="83">
        <v>7</v>
      </c>
      <c r="M13" s="83">
        <v>255</v>
      </c>
      <c r="N13" s="83">
        <v>4</v>
      </c>
      <c r="O13" s="83">
        <v>223</v>
      </c>
      <c r="P13" s="83" t="s">
        <v>15</v>
      </c>
      <c r="Q13" s="83" t="s">
        <v>15</v>
      </c>
      <c r="R13" s="83" t="s">
        <v>15</v>
      </c>
      <c r="S13" s="83" t="s">
        <v>15</v>
      </c>
      <c r="T13" s="83">
        <v>3</v>
      </c>
    </row>
    <row r="14" spans="1:20" s="25" customFormat="1" ht="19.5" customHeight="1">
      <c r="A14" s="112"/>
      <c r="B14" s="323" t="s">
        <v>97</v>
      </c>
      <c r="C14" s="324"/>
      <c r="D14" s="108">
        <f>F14+H14+J14+L14+N14+T14</f>
        <v>53</v>
      </c>
      <c r="E14" s="108">
        <f>G14+I14+K14+M14+O14</f>
        <v>670</v>
      </c>
      <c r="F14" s="83">
        <v>14</v>
      </c>
      <c r="G14" s="83">
        <v>36</v>
      </c>
      <c r="H14" s="83">
        <v>14</v>
      </c>
      <c r="I14" s="83">
        <v>81</v>
      </c>
      <c r="J14" s="83">
        <f>13+5</f>
        <v>18</v>
      </c>
      <c r="K14" s="83">
        <f>161+123</f>
        <v>284</v>
      </c>
      <c r="L14" s="83">
        <v>4</v>
      </c>
      <c r="M14" s="83">
        <v>162</v>
      </c>
      <c r="N14" s="83">
        <v>2</v>
      </c>
      <c r="O14" s="83">
        <v>107</v>
      </c>
      <c r="P14" s="83" t="s">
        <v>15</v>
      </c>
      <c r="Q14" s="83" t="s">
        <v>15</v>
      </c>
      <c r="R14" s="83" t="s">
        <v>15</v>
      </c>
      <c r="S14" s="83" t="s">
        <v>15</v>
      </c>
      <c r="T14" s="83">
        <v>1</v>
      </c>
    </row>
    <row r="15" spans="1:20" s="25" customFormat="1" ht="19.5" customHeight="1">
      <c r="A15" s="112"/>
      <c r="B15" s="323" t="s">
        <v>98</v>
      </c>
      <c r="C15" s="324"/>
      <c r="D15" s="108">
        <f>F15+H15+J15+L15+N15+P15</f>
        <v>78</v>
      </c>
      <c r="E15" s="108">
        <f>G15+I15+K15+M15+O15+Q15</f>
        <v>1433</v>
      </c>
      <c r="F15" s="83">
        <v>10</v>
      </c>
      <c r="G15" s="83">
        <v>20</v>
      </c>
      <c r="H15" s="83">
        <v>23</v>
      </c>
      <c r="I15" s="83">
        <v>160</v>
      </c>
      <c r="J15" s="83">
        <f>18+12</f>
        <v>30</v>
      </c>
      <c r="K15" s="83">
        <f>246+279</f>
        <v>525</v>
      </c>
      <c r="L15" s="83">
        <v>9</v>
      </c>
      <c r="M15" s="83">
        <v>312</v>
      </c>
      <c r="N15" s="83">
        <v>5</v>
      </c>
      <c r="O15" s="83">
        <v>309</v>
      </c>
      <c r="P15" s="83">
        <v>1</v>
      </c>
      <c r="Q15" s="83">
        <v>107</v>
      </c>
      <c r="R15" s="83" t="s">
        <v>15</v>
      </c>
      <c r="S15" s="83" t="s">
        <v>15</v>
      </c>
      <c r="T15" s="83" t="s">
        <v>15</v>
      </c>
    </row>
    <row r="16" spans="1:234" s="40" customFormat="1" ht="19.5" customHeight="1">
      <c r="A16" s="112"/>
      <c r="B16" s="112"/>
      <c r="C16" s="111"/>
      <c r="D16" s="108"/>
      <c r="E16" s="108"/>
      <c r="F16" s="64"/>
      <c r="G16" s="64"/>
      <c r="H16" s="64"/>
      <c r="I16" s="64"/>
      <c r="J16" s="64"/>
      <c r="K16" s="64"/>
      <c r="L16" s="64"/>
      <c r="M16" s="64"/>
      <c r="N16" s="64"/>
      <c r="O16" s="108"/>
      <c r="P16" s="108"/>
      <c r="Q16" s="108"/>
      <c r="R16" s="108"/>
      <c r="S16" s="108"/>
      <c r="T16" s="6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</row>
    <row r="17" spans="1:20" s="25" customFormat="1" ht="19.5" customHeight="1">
      <c r="A17" s="323" t="s">
        <v>99</v>
      </c>
      <c r="B17" s="323"/>
      <c r="C17" s="324"/>
      <c r="D17" s="108">
        <f>F17+H17+J17+L17+N17+P17+R17+T17</f>
        <v>65688</v>
      </c>
      <c r="E17" s="108">
        <f>G17+I17+K17+M17+O17+Q17+S17</f>
        <v>559489</v>
      </c>
      <c r="F17" s="108">
        <f>F18+F19+F20+'034'!F8+'034'!F9+'034'!F10+'034'!F11+'034'!F26+'034'!F27+'034'!F28+'034'!F29+'034'!F30+'034'!F31+'034'!F34+'034'!F38+'034'!F41</f>
        <v>40903</v>
      </c>
      <c r="G17" s="108">
        <f>G18+G19+G20+'034'!G8+'034'!G9+'034'!G10+'034'!G11+'034'!G26+'034'!G27+'034'!G28+'034'!G29+'034'!G30+'034'!G31+'034'!G34+'034'!G38+'034'!G41</f>
        <v>87687</v>
      </c>
      <c r="H17" s="108">
        <f>H18+H19+H20+'034'!H8+'034'!H9+'034'!H10+'034'!H11+'034'!H26+'034'!H27+'034'!H28+'034'!H29+'034'!H30+'034'!H31+'034'!H34+'034'!H38+'034'!H41</f>
        <v>12162</v>
      </c>
      <c r="I17" s="108">
        <f>I18+I19+I20+'034'!I8+'034'!I9+'034'!I10+'034'!I11+'034'!I26+'034'!I27+'034'!I28+'034'!I29+'034'!I30+'034'!I31+'034'!I34+'034'!I38+'034'!I41</f>
        <v>79002</v>
      </c>
      <c r="J17" s="108">
        <f>J18+J19+J20+'034'!J8+'034'!J9+'034'!J10+'034'!J11+'034'!J26+'034'!J27+'034'!J28+'034'!J29+'034'!J30+'034'!J31+'034'!J34+'034'!J38+'034'!J41</f>
        <v>8981</v>
      </c>
      <c r="K17" s="108">
        <f>K18+K19+K20+'034'!K8+'034'!K9+'034'!K10+'034'!K11+'034'!K26+'034'!K27+'034'!K28+'034'!K29+'034'!K30+'034'!K31+'034'!K34+'034'!K38+'034'!K41</f>
        <v>142518</v>
      </c>
      <c r="L17" s="108">
        <f>L19+L20+'034'!L8+'034'!L9+'034'!L10+'034'!L11+'034'!L26+'034'!L27+'034'!L28+'034'!L29+'034'!L30+'034'!L31+'034'!L34+'034'!L38+'034'!L41</f>
        <v>1536</v>
      </c>
      <c r="M17" s="108">
        <f>M19+M20+'034'!M8+'034'!M9+'034'!M10+'034'!M11+'034'!M26+'034'!M27+'034'!M28+'034'!M29+'034'!M30+'034'!M31+'034'!M34+'034'!M38+'034'!M41</f>
        <v>57544</v>
      </c>
      <c r="N17" s="108">
        <f>N19+N20+'034'!N8+'034'!N9+'034'!N10+'034'!N11+'034'!N26+'034'!N27+'034'!N28+'034'!N29+'034'!N30+'034'!N31+'034'!N34+'034'!N38+'034'!N41</f>
        <v>973</v>
      </c>
      <c r="O17" s="108">
        <f>O19+O20+'034'!O8+'034'!O9+'034'!O10+'034'!O11+'034'!O26+'034'!O27+'034'!O28+'034'!O29+'034'!O30+'034'!O31+'034'!O34+'034'!O38+'034'!O41</f>
        <v>65950</v>
      </c>
      <c r="P17" s="108">
        <f>P19+P20+'034'!P8+'034'!P9+'034'!P10+'034'!P11+'034'!P26+'034'!P27+'034'!P28+'034'!P29+'034'!P30+'034'!P31+'034'!P34+'034'!P38+'034'!P41</f>
        <v>472</v>
      </c>
      <c r="Q17" s="108">
        <f>Q19+Q20+'034'!Q8+'034'!Q9+'034'!Q10+'034'!Q11+'034'!Q26+'034'!Q27+'034'!Q28+'034'!Q29+'034'!Q30+'034'!Q31+'034'!Q34+'034'!Q38+'034'!Q41</f>
        <v>72925</v>
      </c>
      <c r="R17" s="108">
        <f>R19+R20+'034'!R8+'034'!R9+'034'!R10+'034'!R11+'034'!R26+'034'!R29+'034'!R31+'034'!R34+'034'!R41</f>
        <v>94</v>
      </c>
      <c r="S17" s="108">
        <f>S19+S20+'034'!S8+'034'!S9+'034'!S10+'034'!S11+'034'!S26+'034'!S29+'034'!S31+'034'!S34+'034'!S41</f>
        <v>53863</v>
      </c>
      <c r="T17" s="108">
        <f>T18+T19+T20+'034'!T8+'034'!T9+'034'!T10+'034'!T11+'034'!T26+'034'!T27+'034'!T28+'034'!T29+'034'!T30+'034'!T31+'034'!T34+'034'!T38+'034'!T41</f>
        <v>567</v>
      </c>
    </row>
    <row r="18" spans="1:20" s="25" customFormat="1" ht="19.5" customHeight="1">
      <c r="A18" s="64"/>
      <c r="B18" s="323" t="s">
        <v>247</v>
      </c>
      <c r="C18" s="324"/>
      <c r="D18" s="108">
        <f>F18+H18+J18+T18</f>
        <v>40</v>
      </c>
      <c r="E18" s="108">
        <f>G18+I18+K18</f>
        <v>295</v>
      </c>
      <c r="F18" s="83">
        <v>10</v>
      </c>
      <c r="G18" s="83">
        <v>26</v>
      </c>
      <c r="H18" s="83">
        <v>16</v>
      </c>
      <c r="I18" s="83">
        <v>102</v>
      </c>
      <c r="J18" s="83">
        <f>12+1</f>
        <v>13</v>
      </c>
      <c r="K18" s="83">
        <f>142+25</f>
        <v>167</v>
      </c>
      <c r="L18" s="83" t="s">
        <v>149</v>
      </c>
      <c r="M18" s="83" t="s">
        <v>15</v>
      </c>
      <c r="N18" s="83" t="s">
        <v>15</v>
      </c>
      <c r="O18" s="83" t="s">
        <v>15</v>
      </c>
      <c r="P18" s="83" t="s">
        <v>15</v>
      </c>
      <c r="Q18" s="83" t="s">
        <v>15</v>
      </c>
      <c r="R18" s="83" t="s">
        <v>15</v>
      </c>
      <c r="S18" s="83" t="s">
        <v>15</v>
      </c>
      <c r="T18" s="83">
        <v>1</v>
      </c>
    </row>
    <row r="19" spans="1:20" s="25" customFormat="1" ht="19.5" customHeight="1">
      <c r="A19" s="64"/>
      <c r="B19" s="323" t="s">
        <v>100</v>
      </c>
      <c r="C19" s="324"/>
      <c r="D19" s="108">
        <f>F19+H19+J19+L19+N19+P19+R19+T19</f>
        <v>7500</v>
      </c>
      <c r="E19" s="108">
        <f>G19+I19+K19+M19+O19+Q19+S19</f>
        <v>47965</v>
      </c>
      <c r="F19" s="83">
        <v>4557</v>
      </c>
      <c r="G19" s="83">
        <v>10047</v>
      </c>
      <c r="H19" s="83">
        <v>1709</v>
      </c>
      <c r="I19" s="83">
        <v>11197</v>
      </c>
      <c r="J19" s="83">
        <f>831+205</f>
        <v>1036</v>
      </c>
      <c r="K19" s="83">
        <f>10929+4797</f>
        <v>15726</v>
      </c>
      <c r="L19" s="83">
        <v>113</v>
      </c>
      <c r="M19" s="83">
        <v>4223</v>
      </c>
      <c r="N19" s="83">
        <v>52</v>
      </c>
      <c r="O19" s="83">
        <v>3330</v>
      </c>
      <c r="P19" s="83">
        <f>14+5</f>
        <v>19</v>
      </c>
      <c r="Q19" s="83">
        <f>1896+1118</f>
        <v>3014</v>
      </c>
      <c r="R19" s="83">
        <v>1</v>
      </c>
      <c r="S19" s="83">
        <v>428</v>
      </c>
      <c r="T19" s="83">
        <v>13</v>
      </c>
    </row>
    <row r="20" spans="1:20" s="25" customFormat="1" ht="19.5" customHeight="1">
      <c r="A20" s="64"/>
      <c r="B20" s="323" t="s">
        <v>101</v>
      </c>
      <c r="C20" s="324"/>
      <c r="D20" s="108">
        <f>F20+H20+J20+L20+N20+P20+R20+T20</f>
        <v>8048</v>
      </c>
      <c r="E20" s="108">
        <f>G20+I20+K20+M20+O20+Q20+S20</f>
        <v>109007</v>
      </c>
      <c r="F20" s="108">
        <f>SUM(F21:F44)</f>
        <v>4667</v>
      </c>
      <c r="G20" s="108">
        <f>SUM(G21:G44)</f>
        <v>10710</v>
      </c>
      <c r="H20" s="108">
        <f>SUM(H21:H44)</f>
        <v>1445</v>
      </c>
      <c r="I20" s="108">
        <f aca="true" t="shared" si="3" ref="I20:T20">SUM(I21:I44)</f>
        <v>9438</v>
      </c>
      <c r="J20" s="108">
        <f t="shared" si="3"/>
        <v>1266</v>
      </c>
      <c r="K20" s="108">
        <f t="shared" si="3"/>
        <v>20830</v>
      </c>
      <c r="L20" s="108">
        <f t="shared" si="3"/>
        <v>277</v>
      </c>
      <c r="M20" s="108">
        <f t="shared" si="3"/>
        <v>10434</v>
      </c>
      <c r="N20" s="108">
        <f t="shared" si="3"/>
        <v>210</v>
      </c>
      <c r="O20" s="108">
        <f t="shared" si="3"/>
        <v>14448</v>
      </c>
      <c r="P20" s="108">
        <f t="shared" si="3"/>
        <v>126</v>
      </c>
      <c r="Q20" s="108">
        <f t="shared" si="3"/>
        <v>20072</v>
      </c>
      <c r="R20" s="108">
        <f t="shared" si="3"/>
        <v>39</v>
      </c>
      <c r="S20" s="108">
        <f t="shared" si="3"/>
        <v>23075</v>
      </c>
      <c r="T20" s="108">
        <f t="shared" si="3"/>
        <v>18</v>
      </c>
    </row>
    <row r="21" spans="1:20" ht="19.5" customHeight="1">
      <c r="A21" s="102"/>
      <c r="B21" s="102"/>
      <c r="C21" s="113" t="s">
        <v>102</v>
      </c>
      <c r="D21" s="185">
        <f>F21+H21+J21+L21+N21+P21+R21+T21</f>
        <v>676</v>
      </c>
      <c r="E21" s="185">
        <f>G21+I21+K21+M21+O21+Q21+S21</f>
        <v>11518</v>
      </c>
      <c r="F21" s="89">
        <v>272</v>
      </c>
      <c r="G21" s="89">
        <v>713</v>
      </c>
      <c r="H21" s="89">
        <v>143</v>
      </c>
      <c r="I21" s="89">
        <v>949</v>
      </c>
      <c r="J21" s="89">
        <f>133+45</f>
        <v>178</v>
      </c>
      <c r="K21" s="89">
        <f>1817+1074</f>
        <v>2891</v>
      </c>
      <c r="L21" s="89">
        <v>32</v>
      </c>
      <c r="M21" s="89">
        <v>1248</v>
      </c>
      <c r="N21" s="89">
        <v>29</v>
      </c>
      <c r="O21" s="89">
        <v>1870</v>
      </c>
      <c r="P21" s="89">
        <f>14+4</f>
        <v>18</v>
      </c>
      <c r="Q21" s="89">
        <f>1835+940</f>
        <v>2775</v>
      </c>
      <c r="R21" s="89">
        <v>3</v>
      </c>
      <c r="S21" s="89">
        <v>1072</v>
      </c>
      <c r="T21" s="89">
        <v>1</v>
      </c>
    </row>
    <row r="22" spans="1:234" s="39" customFormat="1" ht="19.5" customHeight="1">
      <c r="A22" s="102"/>
      <c r="B22" s="102"/>
      <c r="C22" s="113" t="s">
        <v>103</v>
      </c>
      <c r="D22" s="185">
        <f>F22+H22+J22+L22+N22+P22+T22</f>
        <v>73</v>
      </c>
      <c r="E22" s="185">
        <f>G22+I22+K22+M22+O22+Q22</f>
        <v>1043</v>
      </c>
      <c r="F22" s="89">
        <v>25</v>
      </c>
      <c r="G22" s="89">
        <v>66</v>
      </c>
      <c r="H22" s="89">
        <v>29</v>
      </c>
      <c r="I22" s="89">
        <v>193</v>
      </c>
      <c r="J22" s="89">
        <f>7+3</f>
        <v>10</v>
      </c>
      <c r="K22" s="89">
        <f>106+76</f>
        <v>182</v>
      </c>
      <c r="L22" s="89">
        <v>4</v>
      </c>
      <c r="M22" s="89">
        <v>147</v>
      </c>
      <c r="N22" s="89">
        <v>1</v>
      </c>
      <c r="O22" s="89">
        <v>62</v>
      </c>
      <c r="P22" s="89">
        <v>3</v>
      </c>
      <c r="Q22" s="89">
        <v>393</v>
      </c>
      <c r="R22" s="188" t="s">
        <v>15</v>
      </c>
      <c r="S22" s="188" t="s">
        <v>15</v>
      </c>
      <c r="T22" s="89">
        <v>1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</row>
    <row r="23" spans="1:234" ht="19.5" customHeight="1">
      <c r="A23" s="102"/>
      <c r="B23" s="102"/>
      <c r="C23" s="189" t="s">
        <v>150</v>
      </c>
      <c r="D23" s="185">
        <f>F23+H23+J23+L23+N23+P23+R23+T23</f>
        <v>1890</v>
      </c>
      <c r="E23" s="185">
        <f aca="true" t="shared" si="4" ref="E23:E44">G23+I23+K23+M23+O23+Q23+S23</f>
        <v>15779</v>
      </c>
      <c r="F23" s="89">
        <v>1238</v>
      </c>
      <c r="G23" s="89">
        <v>2973</v>
      </c>
      <c r="H23" s="89">
        <v>329</v>
      </c>
      <c r="I23" s="89">
        <v>2102</v>
      </c>
      <c r="J23" s="89">
        <f>157+75</f>
        <v>232</v>
      </c>
      <c r="K23" s="89">
        <f>2082+1770</f>
        <v>3852</v>
      </c>
      <c r="L23" s="89">
        <v>38</v>
      </c>
      <c r="M23" s="89">
        <v>1423</v>
      </c>
      <c r="N23" s="89">
        <v>36</v>
      </c>
      <c r="O23" s="89">
        <v>2452</v>
      </c>
      <c r="P23" s="89">
        <f>12+1</f>
        <v>13</v>
      </c>
      <c r="Q23" s="89">
        <f>1467+201</f>
        <v>1668</v>
      </c>
      <c r="R23" s="89">
        <v>2</v>
      </c>
      <c r="S23" s="89">
        <v>1309</v>
      </c>
      <c r="T23" s="89">
        <v>2</v>
      </c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</row>
    <row r="24" spans="1:234" s="39" customFormat="1" ht="19.5" customHeight="1">
      <c r="A24" s="102"/>
      <c r="C24" s="113" t="s">
        <v>232</v>
      </c>
      <c r="D24" s="185">
        <f>F24+H24+J24+L24+N24+P24</f>
        <v>197</v>
      </c>
      <c r="E24" s="185">
        <f>G24+I24+K24+M24+O24+Q24</f>
        <v>1341</v>
      </c>
      <c r="F24" s="89">
        <v>124</v>
      </c>
      <c r="G24" s="89">
        <v>283</v>
      </c>
      <c r="H24" s="89">
        <v>39</v>
      </c>
      <c r="I24" s="89">
        <v>259</v>
      </c>
      <c r="J24" s="89">
        <f>23+6</f>
        <v>29</v>
      </c>
      <c r="K24" s="89">
        <f>309+143</f>
        <v>452</v>
      </c>
      <c r="L24" s="89">
        <v>3</v>
      </c>
      <c r="M24" s="89">
        <v>117</v>
      </c>
      <c r="N24" s="89">
        <v>1</v>
      </c>
      <c r="O24" s="89">
        <v>51</v>
      </c>
      <c r="P24" s="89">
        <v>1</v>
      </c>
      <c r="Q24" s="89">
        <v>179</v>
      </c>
      <c r="R24" s="188" t="s">
        <v>15</v>
      </c>
      <c r="S24" s="188" t="s">
        <v>15</v>
      </c>
      <c r="T24" s="188" t="s">
        <v>15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</row>
    <row r="25" spans="1:234" s="39" customFormat="1" ht="19.5" customHeight="1">
      <c r="A25" s="114"/>
      <c r="B25" s="114"/>
      <c r="C25" s="113" t="s">
        <v>233</v>
      </c>
      <c r="D25" s="185">
        <f>F25+H25+J25+L25+N25+R25</f>
        <v>437</v>
      </c>
      <c r="E25" s="185">
        <f>G25+I25+K25+M25+O25+S25</f>
        <v>2882</v>
      </c>
      <c r="F25" s="89">
        <v>333</v>
      </c>
      <c r="G25" s="89">
        <v>640</v>
      </c>
      <c r="H25" s="89">
        <v>69</v>
      </c>
      <c r="I25" s="89">
        <v>416</v>
      </c>
      <c r="J25" s="89">
        <f>15+7</f>
        <v>22</v>
      </c>
      <c r="K25" s="89">
        <f>191+176</f>
        <v>367</v>
      </c>
      <c r="L25" s="89">
        <v>6</v>
      </c>
      <c r="M25" s="89">
        <v>237</v>
      </c>
      <c r="N25" s="89">
        <v>5</v>
      </c>
      <c r="O25" s="89">
        <v>325</v>
      </c>
      <c r="P25" s="188" t="s">
        <v>15</v>
      </c>
      <c r="Q25" s="188" t="s">
        <v>15</v>
      </c>
      <c r="R25" s="89">
        <v>2</v>
      </c>
      <c r="S25" s="89">
        <v>897</v>
      </c>
      <c r="T25" s="188" t="s">
        <v>15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</row>
    <row r="26" spans="1:20" ht="19.5" customHeight="1">
      <c r="A26" s="114"/>
      <c r="B26" s="114"/>
      <c r="C26" s="113" t="s">
        <v>234</v>
      </c>
      <c r="D26" s="185">
        <f>F26+H26+J26+L26+N26+P26</f>
        <v>127</v>
      </c>
      <c r="E26" s="185">
        <f>G26+I26+K26+M26+O26+Q26</f>
        <v>1471</v>
      </c>
      <c r="F26" s="89">
        <v>51</v>
      </c>
      <c r="G26" s="89">
        <v>139</v>
      </c>
      <c r="H26" s="89">
        <v>34</v>
      </c>
      <c r="I26" s="89">
        <v>224</v>
      </c>
      <c r="J26" s="89">
        <f>21+11</f>
        <v>32</v>
      </c>
      <c r="K26" s="89">
        <f>282+262</f>
        <v>544</v>
      </c>
      <c r="L26" s="89">
        <v>4</v>
      </c>
      <c r="M26" s="89">
        <v>127</v>
      </c>
      <c r="N26" s="89">
        <v>5</v>
      </c>
      <c r="O26" s="89">
        <v>300</v>
      </c>
      <c r="P26" s="89">
        <v>1</v>
      </c>
      <c r="Q26" s="89">
        <v>137</v>
      </c>
      <c r="R26" s="188" t="s">
        <v>15</v>
      </c>
      <c r="S26" s="188" t="s">
        <v>15</v>
      </c>
      <c r="T26" s="188" t="s">
        <v>15</v>
      </c>
    </row>
    <row r="27" spans="1:20" ht="19.5" customHeight="1">
      <c r="A27" s="114"/>
      <c r="B27" s="114"/>
      <c r="C27" s="190" t="s">
        <v>151</v>
      </c>
      <c r="D27" s="185">
        <f>F27+H27+J27+L27+N27+P27+R27+T27</f>
        <v>372</v>
      </c>
      <c r="E27" s="185">
        <f t="shared" si="4"/>
        <v>4315</v>
      </c>
      <c r="F27" s="89">
        <v>213</v>
      </c>
      <c r="G27" s="89">
        <v>513</v>
      </c>
      <c r="H27" s="89">
        <v>61</v>
      </c>
      <c r="I27" s="89">
        <v>395</v>
      </c>
      <c r="J27" s="89">
        <f>49+11</f>
        <v>60</v>
      </c>
      <c r="K27" s="89">
        <f>699+248</f>
        <v>947</v>
      </c>
      <c r="L27" s="89">
        <v>19</v>
      </c>
      <c r="M27" s="89">
        <v>703</v>
      </c>
      <c r="N27" s="89">
        <v>12</v>
      </c>
      <c r="O27" s="89">
        <v>798</v>
      </c>
      <c r="P27" s="89">
        <v>4</v>
      </c>
      <c r="Q27" s="89">
        <v>595</v>
      </c>
      <c r="R27" s="89">
        <v>1</v>
      </c>
      <c r="S27" s="89">
        <v>364</v>
      </c>
      <c r="T27" s="89">
        <v>2</v>
      </c>
    </row>
    <row r="28" spans="1:20" ht="19.5" customHeight="1">
      <c r="A28" s="102"/>
      <c r="B28" s="102"/>
      <c r="C28" s="113" t="s">
        <v>235</v>
      </c>
      <c r="D28" s="185">
        <f>F28+H28+J28+L28+N28+P28</f>
        <v>61</v>
      </c>
      <c r="E28" s="185">
        <f>G28+I28+K28+M28+O28+Q28</f>
        <v>1804</v>
      </c>
      <c r="F28" s="89">
        <v>26</v>
      </c>
      <c r="G28" s="89">
        <v>63</v>
      </c>
      <c r="H28" s="89">
        <v>9</v>
      </c>
      <c r="I28" s="89">
        <v>59</v>
      </c>
      <c r="J28" s="89">
        <f>5+7</f>
        <v>12</v>
      </c>
      <c r="K28" s="89">
        <f>74+151</f>
        <v>225</v>
      </c>
      <c r="L28" s="89">
        <v>3</v>
      </c>
      <c r="M28" s="89">
        <v>122</v>
      </c>
      <c r="N28" s="89">
        <v>6</v>
      </c>
      <c r="O28" s="89">
        <v>451</v>
      </c>
      <c r="P28" s="89">
        <f>4+1</f>
        <v>5</v>
      </c>
      <c r="Q28" s="89">
        <f>598+286</f>
        <v>884</v>
      </c>
      <c r="R28" s="188" t="s">
        <v>15</v>
      </c>
      <c r="S28" s="188" t="s">
        <v>15</v>
      </c>
      <c r="T28" s="188" t="s">
        <v>15</v>
      </c>
    </row>
    <row r="29" spans="1:20" ht="19.5" customHeight="1">
      <c r="A29" s="102"/>
      <c r="B29" s="102"/>
      <c r="C29" s="113" t="s">
        <v>236</v>
      </c>
      <c r="D29" s="185">
        <f>F29+H29+J29</f>
        <v>10</v>
      </c>
      <c r="E29" s="185">
        <f>G29+I29+K29</f>
        <v>113</v>
      </c>
      <c r="F29" s="89">
        <v>2</v>
      </c>
      <c r="G29" s="89">
        <v>2</v>
      </c>
      <c r="H29" s="89">
        <v>2</v>
      </c>
      <c r="I29" s="89">
        <v>16</v>
      </c>
      <c r="J29" s="89">
        <f>5+1</f>
        <v>6</v>
      </c>
      <c r="K29" s="89">
        <f>72+23</f>
        <v>95</v>
      </c>
      <c r="L29" s="188" t="s">
        <v>15</v>
      </c>
      <c r="M29" s="188" t="s">
        <v>15</v>
      </c>
      <c r="N29" s="188" t="s">
        <v>15</v>
      </c>
      <c r="O29" s="188" t="s">
        <v>15</v>
      </c>
      <c r="P29" s="188" t="s">
        <v>15</v>
      </c>
      <c r="Q29" s="188" t="s">
        <v>15</v>
      </c>
      <c r="R29" s="188" t="s">
        <v>15</v>
      </c>
      <c r="S29" s="188" t="s">
        <v>15</v>
      </c>
      <c r="T29" s="188" t="s">
        <v>15</v>
      </c>
    </row>
    <row r="30" spans="1:20" ht="19.5" customHeight="1">
      <c r="A30" s="102"/>
      <c r="B30" s="102"/>
      <c r="C30" s="190" t="s">
        <v>126</v>
      </c>
      <c r="D30" s="185">
        <f>F30+H30+J30+L30+N30+P30+R30</f>
        <v>213</v>
      </c>
      <c r="E30" s="185">
        <f t="shared" si="4"/>
        <v>3282</v>
      </c>
      <c r="F30" s="89">
        <v>96</v>
      </c>
      <c r="G30" s="89">
        <v>220</v>
      </c>
      <c r="H30" s="89">
        <v>53</v>
      </c>
      <c r="I30" s="89">
        <v>335</v>
      </c>
      <c r="J30" s="89">
        <f>28+10</f>
        <v>38</v>
      </c>
      <c r="K30" s="89">
        <f>375+238</f>
        <v>613</v>
      </c>
      <c r="L30" s="89">
        <v>15</v>
      </c>
      <c r="M30" s="89">
        <v>533</v>
      </c>
      <c r="N30" s="89">
        <v>6</v>
      </c>
      <c r="O30" s="89">
        <v>438</v>
      </c>
      <c r="P30" s="89">
        <v>4</v>
      </c>
      <c r="Q30" s="89">
        <v>622</v>
      </c>
      <c r="R30" s="89">
        <v>1</v>
      </c>
      <c r="S30" s="89">
        <v>521</v>
      </c>
      <c r="T30" s="188" t="s">
        <v>15</v>
      </c>
    </row>
    <row r="31" spans="1:20" ht="19.5" customHeight="1">
      <c r="A31" s="102"/>
      <c r="B31" s="102"/>
      <c r="C31" s="113" t="s">
        <v>113</v>
      </c>
      <c r="D31" s="185">
        <f>F31+H31+J31+L31+N31</f>
        <v>35</v>
      </c>
      <c r="E31" s="185">
        <f>G31+I31+K31+M31+O31</f>
        <v>418</v>
      </c>
      <c r="F31" s="89">
        <v>14</v>
      </c>
      <c r="G31" s="89">
        <v>26</v>
      </c>
      <c r="H31" s="89">
        <v>8</v>
      </c>
      <c r="I31" s="89">
        <v>50</v>
      </c>
      <c r="J31" s="89">
        <f>5+5</f>
        <v>10</v>
      </c>
      <c r="K31" s="89">
        <f>71+137</f>
        <v>208</v>
      </c>
      <c r="L31" s="89">
        <v>2</v>
      </c>
      <c r="M31" s="89">
        <v>77</v>
      </c>
      <c r="N31" s="89">
        <v>1</v>
      </c>
      <c r="O31" s="89">
        <v>57</v>
      </c>
      <c r="P31" s="188" t="s">
        <v>15</v>
      </c>
      <c r="Q31" s="188" t="s">
        <v>15</v>
      </c>
      <c r="R31" s="188" t="s">
        <v>15</v>
      </c>
      <c r="S31" s="188" t="s">
        <v>15</v>
      </c>
      <c r="T31" s="188" t="s">
        <v>15</v>
      </c>
    </row>
    <row r="32" spans="1:20" ht="19.5" customHeight="1">
      <c r="A32" s="102"/>
      <c r="B32" s="102"/>
      <c r="C32" s="113" t="s">
        <v>71</v>
      </c>
      <c r="D32" s="185">
        <f>F32+J32</f>
        <v>6</v>
      </c>
      <c r="E32" s="185">
        <f>G32+K32</f>
        <v>39</v>
      </c>
      <c r="F32" s="89">
        <v>4</v>
      </c>
      <c r="G32" s="89">
        <v>11</v>
      </c>
      <c r="H32" s="188" t="s">
        <v>15</v>
      </c>
      <c r="I32" s="188" t="s">
        <v>15</v>
      </c>
      <c r="J32" s="89">
        <v>2</v>
      </c>
      <c r="K32" s="89">
        <v>28</v>
      </c>
      <c r="L32" s="188" t="s">
        <v>15</v>
      </c>
      <c r="M32" s="188" t="s">
        <v>15</v>
      </c>
      <c r="N32" s="188" t="s">
        <v>15</v>
      </c>
      <c r="O32" s="188" t="s">
        <v>15</v>
      </c>
      <c r="P32" s="188" t="s">
        <v>15</v>
      </c>
      <c r="Q32" s="188" t="s">
        <v>15</v>
      </c>
      <c r="R32" s="188" t="s">
        <v>15</v>
      </c>
      <c r="S32" s="188" t="s">
        <v>15</v>
      </c>
      <c r="T32" s="188" t="s">
        <v>15</v>
      </c>
    </row>
    <row r="33" spans="1:20" ht="19.5" customHeight="1">
      <c r="A33" s="102"/>
      <c r="B33" s="102"/>
      <c r="C33" s="113" t="s">
        <v>72</v>
      </c>
      <c r="D33" s="185">
        <f>F33+H33+J33+L33+N33+P33+R33+T33</f>
        <v>458</v>
      </c>
      <c r="E33" s="185">
        <f t="shared" si="4"/>
        <v>3732</v>
      </c>
      <c r="F33" s="89">
        <v>285</v>
      </c>
      <c r="G33" s="89">
        <v>601</v>
      </c>
      <c r="H33" s="89">
        <v>64</v>
      </c>
      <c r="I33" s="89">
        <v>414</v>
      </c>
      <c r="J33" s="89">
        <f>81+15</f>
        <v>96</v>
      </c>
      <c r="K33" s="89">
        <f>1063+342</f>
        <v>1405</v>
      </c>
      <c r="L33" s="89">
        <v>6</v>
      </c>
      <c r="M33" s="89">
        <v>240</v>
      </c>
      <c r="N33" s="89">
        <v>4</v>
      </c>
      <c r="O33" s="89">
        <v>293</v>
      </c>
      <c r="P33" s="89">
        <v>1</v>
      </c>
      <c r="Q33" s="89">
        <v>112</v>
      </c>
      <c r="R33" s="89">
        <v>1</v>
      </c>
      <c r="S33" s="89">
        <v>667</v>
      </c>
      <c r="T33" s="89">
        <v>1</v>
      </c>
    </row>
    <row r="34" spans="1:20" ht="19.5" customHeight="1">
      <c r="A34" s="102"/>
      <c r="B34" s="102"/>
      <c r="C34" s="113" t="s">
        <v>73</v>
      </c>
      <c r="D34" s="185">
        <f>F34+H34+J34+L34+N34+P34</f>
        <v>92</v>
      </c>
      <c r="E34" s="185">
        <f>G34+I34+K34+M34+O34+Q34</f>
        <v>1475</v>
      </c>
      <c r="F34" s="89">
        <v>36</v>
      </c>
      <c r="G34" s="89">
        <v>88</v>
      </c>
      <c r="H34" s="89">
        <v>20</v>
      </c>
      <c r="I34" s="89">
        <v>133</v>
      </c>
      <c r="J34" s="89">
        <f>13+8</f>
        <v>21</v>
      </c>
      <c r="K34" s="89">
        <f>179+196</f>
        <v>375</v>
      </c>
      <c r="L34" s="89">
        <v>9</v>
      </c>
      <c r="M34" s="89">
        <v>337</v>
      </c>
      <c r="N34" s="89">
        <v>4</v>
      </c>
      <c r="O34" s="89">
        <v>268</v>
      </c>
      <c r="P34" s="89">
        <v>2</v>
      </c>
      <c r="Q34" s="89">
        <v>274</v>
      </c>
      <c r="R34" s="188" t="s">
        <v>15</v>
      </c>
      <c r="S34" s="188" t="s">
        <v>15</v>
      </c>
      <c r="T34" s="188" t="s">
        <v>15</v>
      </c>
    </row>
    <row r="35" spans="1:20" ht="19.5" customHeight="1">
      <c r="A35" s="102"/>
      <c r="B35" s="102"/>
      <c r="C35" s="113" t="s">
        <v>74</v>
      </c>
      <c r="D35" s="185">
        <f>F35+H35+J35+L35+N35+P35</f>
        <v>42</v>
      </c>
      <c r="E35" s="185">
        <f>G35+I35+K35+M35+O35+Q35</f>
        <v>565</v>
      </c>
      <c r="F35" s="89">
        <v>19</v>
      </c>
      <c r="G35" s="89">
        <v>53</v>
      </c>
      <c r="H35" s="89">
        <v>8</v>
      </c>
      <c r="I35" s="89">
        <v>55</v>
      </c>
      <c r="J35" s="89">
        <f>9+3</f>
        <v>12</v>
      </c>
      <c r="K35" s="89">
        <f>103+73</f>
        <v>176</v>
      </c>
      <c r="L35" s="89">
        <v>1</v>
      </c>
      <c r="M35" s="89">
        <v>32</v>
      </c>
      <c r="N35" s="89">
        <v>1</v>
      </c>
      <c r="O35" s="89">
        <v>65</v>
      </c>
      <c r="P35" s="89">
        <v>1</v>
      </c>
      <c r="Q35" s="89">
        <v>184</v>
      </c>
      <c r="R35" s="188" t="s">
        <v>15</v>
      </c>
      <c r="S35" s="188" t="s">
        <v>15</v>
      </c>
      <c r="T35" s="188" t="s">
        <v>15</v>
      </c>
    </row>
    <row r="36" spans="1:20" ht="19.5" customHeight="1">
      <c r="A36" s="102"/>
      <c r="B36" s="102"/>
      <c r="C36" s="113" t="s">
        <v>75</v>
      </c>
      <c r="D36" s="185">
        <f>F36+H36+J36+L36+N36+P36+T36</f>
        <v>750</v>
      </c>
      <c r="E36" s="185">
        <f>G36+I36+K36+M36+O36+Q36</f>
        <v>8307</v>
      </c>
      <c r="F36" s="89">
        <v>396</v>
      </c>
      <c r="G36" s="89">
        <v>932</v>
      </c>
      <c r="H36" s="89">
        <v>159</v>
      </c>
      <c r="I36" s="89">
        <v>1075</v>
      </c>
      <c r="J36" s="89">
        <f>99+38</f>
        <v>137</v>
      </c>
      <c r="K36" s="89">
        <f>1343+879</f>
        <v>2222</v>
      </c>
      <c r="L36" s="89">
        <v>26</v>
      </c>
      <c r="M36" s="89">
        <v>939</v>
      </c>
      <c r="N36" s="89">
        <v>23</v>
      </c>
      <c r="O36" s="89">
        <v>1647</v>
      </c>
      <c r="P36" s="89">
        <f>6+2</f>
        <v>8</v>
      </c>
      <c r="Q36" s="89">
        <f>1012+480</f>
        <v>1492</v>
      </c>
      <c r="R36" s="188" t="s">
        <v>15</v>
      </c>
      <c r="S36" s="188" t="s">
        <v>15</v>
      </c>
      <c r="T36" s="89">
        <v>1</v>
      </c>
    </row>
    <row r="37" spans="1:20" ht="19.5" customHeight="1">
      <c r="A37" s="102"/>
      <c r="B37" s="102"/>
      <c r="C37" s="190" t="s">
        <v>127</v>
      </c>
      <c r="D37" s="185">
        <f>F37+H37+J37+L37+N37+P37+R37+T37</f>
        <v>333</v>
      </c>
      <c r="E37" s="185">
        <f t="shared" si="4"/>
        <v>6573</v>
      </c>
      <c r="F37" s="89">
        <v>158</v>
      </c>
      <c r="G37" s="89">
        <v>384</v>
      </c>
      <c r="H37" s="89">
        <v>66</v>
      </c>
      <c r="I37" s="89">
        <v>439</v>
      </c>
      <c r="J37" s="89">
        <f>49+15</f>
        <v>64</v>
      </c>
      <c r="K37" s="89">
        <f>647+356</f>
        <v>1003</v>
      </c>
      <c r="L37" s="89">
        <v>18</v>
      </c>
      <c r="M37" s="89">
        <v>680</v>
      </c>
      <c r="N37" s="89">
        <v>12</v>
      </c>
      <c r="O37" s="89">
        <v>859</v>
      </c>
      <c r="P37" s="89">
        <f>9+3</f>
        <v>12</v>
      </c>
      <c r="Q37" s="89">
        <f>1232+705</f>
        <v>1937</v>
      </c>
      <c r="R37" s="89">
        <v>2</v>
      </c>
      <c r="S37" s="89">
        <v>1271</v>
      </c>
      <c r="T37" s="89">
        <v>1</v>
      </c>
    </row>
    <row r="38" spans="1:20" ht="19.5" customHeight="1">
      <c r="A38" s="102"/>
      <c r="B38" s="102"/>
      <c r="C38" s="190" t="s">
        <v>128</v>
      </c>
      <c r="D38" s="185">
        <f>F38+H38+J38+L38+N38+P38+R38+T38</f>
        <v>765</v>
      </c>
      <c r="E38" s="185">
        <f t="shared" si="4"/>
        <v>17298</v>
      </c>
      <c r="F38" s="89">
        <v>368</v>
      </c>
      <c r="G38" s="89">
        <v>894</v>
      </c>
      <c r="H38" s="89">
        <v>147</v>
      </c>
      <c r="I38" s="89">
        <v>989</v>
      </c>
      <c r="J38" s="89">
        <f>94+48</f>
        <v>142</v>
      </c>
      <c r="K38" s="89">
        <f>1302+1138</f>
        <v>2440</v>
      </c>
      <c r="L38" s="89">
        <v>39</v>
      </c>
      <c r="M38" s="89">
        <v>1508</v>
      </c>
      <c r="N38" s="89">
        <v>38</v>
      </c>
      <c r="O38" s="89">
        <v>2606</v>
      </c>
      <c r="P38" s="89">
        <f>14+7</f>
        <v>21</v>
      </c>
      <c r="Q38" s="89">
        <f>1935+1670</f>
        <v>3605</v>
      </c>
      <c r="R38" s="89">
        <v>8</v>
      </c>
      <c r="S38" s="89">
        <v>5256</v>
      </c>
      <c r="T38" s="89">
        <v>2</v>
      </c>
    </row>
    <row r="39" spans="1:20" ht="19.5" customHeight="1">
      <c r="A39" s="102"/>
      <c r="B39" s="102"/>
      <c r="C39" s="190" t="s">
        <v>129</v>
      </c>
      <c r="D39" s="185">
        <f>F39+H39+J39+L39+N39+P39+R39</f>
        <v>46</v>
      </c>
      <c r="E39" s="185">
        <f t="shared" si="4"/>
        <v>1422</v>
      </c>
      <c r="F39" s="89">
        <v>16</v>
      </c>
      <c r="G39" s="89">
        <v>42</v>
      </c>
      <c r="H39" s="89">
        <v>12</v>
      </c>
      <c r="I39" s="89">
        <v>77</v>
      </c>
      <c r="J39" s="89">
        <f>4+4</f>
        <v>8</v>
      </c>
      <c r="K39" s="89">
        <f>56+88</f>
        <v>144</v>
      </c>
      <c r="L39" s="89">
        <v>2</v>
      </c>
      <c r="M39" s="89">
        <v>84</v>
      </c>
      <c r="N39" s="89">
        <v>4</v>
      </c>
      <c r="O39" s="89">
        <v>290</v>
      </c>
      <c r="P39" s="89">
        <v>3</v>
      </c>
      <c r="Q39" s="89">
        <v>410</v>
      </c>
      <c r="R39" s="89">
        <v>1</v>
      </c>
      <c r="S39" s="89">
        <v>375</v>
      </c>
      <c r="T39" s="188" t="s">
        <v>15</v>
      </c>
    </row>
    <row r="40" spans="1:20" ht="19.5" customHeight="1">
      <c r="A40" s="102"/>
      <c r="B40" s="102"/>
      <c r="C40" s="190" t="s">
        <v>249</v>
      </c>
      <c r="D40" s="185">
        <f>F40+H40+J40+L40+N40+P40+R40</f>
        <v>87</v>
      </c>
      <c r="E40" s="185">
        <f t="shared" si="4"/>
        <v>9527</v>
      </c>
      <c r="F40" s="89">
        <v>21</v>
      </c>
      <c r="G40" s="89">
        <v>52</v>
      </c>
      <c r="H40" s="89">
        <v>11</v>
      </c>
      <c r="I40" s="89">
        <v>68</v>
      </c>
      <c r="J40" s="89">
        <f>9+9</f>
        <v>18</v>
      </c>
      <c r="K40" s="89">
        <f>123+209</f>
        <v>332</v>
      </c>
      <c r="L40" s="89">
        <v>12</v>
      </c>
      <c r="M40" s="89">
        <v>466</v>
      </c>
      <c r="N40" s="89">
        <v>6</v>
      </c>
      <c r="O40" s="89">
        <v>457</v>
      </c>
      <c r="P40" s="89">
        <f>8+1</f>
        <v>9</v>
      </c>
      <c r="Q40" s="89">
        <f>1168+263</f>
        <v>1431</v>
      </c>
      <c r="R40" s="89">
        <v>10</v>
      </c>
      <c r="S40" s="89">
        <v>6721</v>
      </c>
      <c r="T40" s="188" t="s">
        <v>15</v>
      </c>
    </row>
    <row r="41" spans="1:20" ht="19.5" customHeight="1">
      <c r="A41" s="102"/>
      <c r="B41" s="102"/>
      <c r="C41" s="190" t="s">
        <v>76</v>
      </c>
      <c r="D41" s="185">
        <f>F41+H41+J41+L41+N41+P41+R41+T41</f>
        <v>267</v>
      </c>
      <c r="E41" s="185">
        <f t="shared" si="4"/>
        <v>5117</v>
      </c>
      <c r="F41" s="89">
        <v>134</v>
      </c>
      <c r="G41" s="89">
        <v>277</v>
      </c>
      <c r="H41" s="89">
        <v>38</v>
      </c>
      <c r="I41" s="89">
        <v>255</v>
      </c>
      <c r="J41" s="89">
        <f>30+17</f>
        <v>47</v>
      </c>
      <c r="K41" s="89">
        <f>405+397</f>
        <v>802</v>
      </c>
      <c r="L41" s="89">
        <v>20</v>
      </c>
      <c r="M41" s="89">
        <v>755</v>
      </c>
      <c r="N41" s="89">
        <v>11</v>
      </c>
      <c r="O41" s="89">
        <v>754</v>
      </c>
      <c r="P41" s="89">
        <f>10+2</f>
        <v>12</v>
      </c>
      <c r="Q41" s="89">
        <f>1320+559</f>
        <v>1879</v>
      </c>
      <c r="R41" s="89">
        <v>1</v>
      </c>
      <c r="S41" s="89">
        <v>395</v>
      </c>
      <c r="T41" s="89">
        <v>4</v>
      </c>
    </row>
    <row r="42" spans="1:20" ht="19.5" customHeight="1">
      <c r="A42" s="102"/>
      <c r="B42" s="102"/>
      <c r="C42" s="190" t="s">
        <v>250</v>
      </c>
      <c r="D42" s="185">
        <f>F42+H42+J42+L42+N42+P42+R42</f>
        <v>33</v>
      </c>
      <c r="E42" s="185">
        <f t="shared" si="4"/>
        <v>3408</v>
      </c>
      <c r="F42" s="89">
        <v>7</v>
      </c>
      <c r="G42" s="89">
        <v>18</v>
      </c>
      <c r="H42" s="89">
        <v>5</v>
      </c>
      <c r="I42" s="89">
        <v>34</v>
      </c>
      <c r="J42" s="89">
        <f>6+3</f>
        <v>9</v>
      </c>
      <c r="K42" s="89">
        <f>90+67</f>
        <v>157</v>
      </c>
      <c r="L42" s="89">
        <v>4</v>
      </c>
      <c r="M42" s="89">
        <v>137</v>
      </c>
      <c r="N42" s="89">
        <v>1</v>
      </c>
      <c r="O42" s="89">
        <v>98</v>
      </c>
      <c r="P42" s="89">
        <f>1+2</f>
        <v>3</v>
      </c>
      <c r="Q42" s="89">
        <f>107+477</f>
        <v>584</v>
      </c>
      <c r="R42" s="89">
        <v>4</v>
      </c>
      <c r="S42" s="89">
        <v>2380</v>
      </c>
      <c r="T42" s="188" t="s">
        <v>15</v>
      </c>
    </row>
    <row r="43" spans="1:20" ht="19.5" customHeight="1">
      <c r="A43" s="102"/>
      <c r="B43" s="102"/>
      <c r="C43" s="113" t="s">
        <v>124</v>
      </c>
      <c r="D43" s="185">
        <f>F43+H43+J43+L43+N43+P43+R43</f>
        <v>119</v>
      </c>
      <c r="E43" s="185">
        <f t="shared" si="4"/>
        <v>3168</v>
      </c>
      <c r="F43" s="89">
        <v>48</v>
      </c>
      <c r="G43" s="89">
        <v>119</v>
      </c>
      <c r="H43" s="89">
        <v>29</v>
      </c>
      <c r="I43" s="89">
        <v>188</v>
      </c>
      <c r="J43" s="89">
        <f>14+17</f>
        <v>31</v>
      </c>
      <c r="K43" s="89">
        <f>192+424</f>
        <v>616</v>
      </c>
      <c r="L43" s="89">
        <v>5</v>
      </c>
      <c r="M43" s="89">
        <v>188</v>
      </c>
      <c r="N43" s="89">
        <v>1</v>
      </c>
      <c r="O43" s="89">
        <v>73</v>
      </c>
      <c r="P43" s="89">
        <f>1+2</f>
        <v>3</v>
      </c>
      <c r="Q43" s="89">
        <f>100+539</f>
        <v>639</v>
      </c>
      <c r="R43" s="89">
        <v>2</v>
      </c>
      <c r="S43" s="89">
        <v>1345</v>
      </c>
      <c r="T43" s="188" t="s">
        <v>15</v>
      </c>
    </row>
    <row r="44" spans="1:20" ht="19.5" customHeight="1">
      <c r="A44" s="115"/>
      <c r="B44" s="115"/>
      <c r="C44" s="116" t="s">
        <v>125</v>
      </c>
      <c r="D44" s="186">
        <f>F44+H44+J44+L44+N44+P44+R44+T44</f>
        <v>959</v>
      </c>
      <c r="E44" s="187">
        <f t="shared" si="4"/>
        <v>4410</v>
      </c>
      <c r="F44" s="94">
        <v>781</v>
      </c>
      <c r="G44" s="94">
        <v>1601</v>
      </c>
      <c r="H44" s="94">
        <v>110</v>
      </c>
      <c r="I44" s="94">
        <v>713</v>
      </c>
      <c r="J44" s="94">
        <f>42+8</f>
        <v>50</v>
      </c>
      <c r="K44" s="94">
        <f>558+196</f>
        <v>754</v>
      </c>
      <c r="L44" s="94">
        <v>9</v>
      </c>
      <c r="M44" s="94">
        <v>334</v>
      </c>
      <c r="N44" s="94">
        <v>3</v>
      </c>
      <c r="O44" s="94">
        <v>234</v>
      </c>
      <c r="P44" s="94">
        <v>2</v>
      </c>
      <c r="Q44" s="94">
        <v>272</v>
      </c>
      <c r="R44" s="94">
        <v>1</v>
      </c>
      <c r="S44" s="94">
        <v>502</v>
      </c>
      <c r="T44" s="94">
        <v>3</v>
      </c>
    </row>
    <row r="45" spans="1:3" ht="15" customHeight="1">
      <c r="A45" s="183" t="s">
        <v>14</v>
      </c>
      <c r="B45" s="102"/>
      <c r="C45" s="102"/>
    </row>
    <row r="46" spans="1:3" ht="15" customHeight="1">
      <c r="A46" s="184" t="s">
        <v>240</v>
      </c>
      <c r="B46" s="102"/>
      <c r="C46" s="102"/>
    </row>
    <row r="47" spans="1:3" ht="15" customHeight="1">
      <c r="A47" s="102"/>
      <c r="B47" s="102"/>
      <c r="C47" s="102"/>
    </row>
    <row r="48" spans="1:3" ht="12.75">
      <c r="A48" s="102"/>
      <c r="B48" s="102"/>
      <c r="C48" s="102"/>
    </row>
    <row r="51" ht="15" customHeight="1"/>
    <row r="52" ht="15" customHeight="1"/>
  </sheetData>
  <sheetProtection/>
  <mergeCells count="39">
    <mergeCell ref="P4:Q4"/>
    <mergeCell ref="R4:S4"/>
    <mergeCell ref="J5:J6"/>
    <mergeCell ref="K5:K6"/>
    <mergeCell ref="L5:L6"/>
    <mergeCell ref="J4:K4"/>
    <mergeCell ref="L4:M4"/>
    <mergeCell ref="R5:R6"/>
    <mergeCell ref="S5:S6"/>
    <mergeCell ref="N4:O4"/>
    <mergeCell ref="T5:T6"/>
    <mergeCell ref="M5:M6"/>
    <mergeCell ref="N5:N6"/>
    <mergeCell ref="O5:O6"/>
    <mergeCell ref="P5:P6"/>
    <mergeCell ref="A4:C6"/>
    <mergeCell ref="D4:E4"/>
    <mergeCell ref="F4:G4"/>
    <mergeCell ref="H4:I4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B8:C8"/>
    <mergeCell ref="B9:C9"/>
    <mergeCell ref="B20:C20"/>
    <mergeCell ref="A2:T2"/>
    <mergeCell ref="B15:C15"/>
    <mergeCell ref="A17:C17"/>
    <mergeCell ref="B18:C18"/>
    <mergeCell ref="B19:C19"/>
    <mergeCell ref="B11:C11"/>
    <mergeCell ref="A12:C12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3"/>
  <sheetViews>
    <sheetView zoomScale="75" zoomScaleNormal="75" zoomScalePageLayoutView="0" workbookViewId="0" topLeftCell="D1">
      <selection activeCell="U20" sqref="U20"/>
    </sheetView>
  </sheetViews>
  <sheetFormatPr defaultColWidth="10.69921875" defaultRowHeight="15"/>
  <cols>
    <col min="1" max="2" width="2.19921875" style="70" customWidth="1"/>
    <col min="3" max="3" width="40.69921875" style="70" customWidth="1"/>
    <col min="4" max="4" width="8.69921875" style="7" customWidth="1"/>
    <col min="5" max="5" width="10.19921875" style="7" customWidth="1"/>
    <col min="6" max="19" width="8.69921875" style="7" customWidth="1"/>
    <col min="20" max="20" width="9.69921875" style="7" customWidth="1"/>
    <col min="21" max="16384" width="10.69921875" style="7" customWidth="1"/>
  </cols>
  <sheetData>
    <row r="1" spans="1:20" s="2" customFormat="1" ht="19.5" customHeight="1">
      <c r="A1" s="71" t="s">
        <v>3</v>
      </c>
      <c r="B1" s="72"/>
      <c r="C1" s="72"/>
      <c r="T1" s="73" t="s">
        <v>4</v>
      </c>
    </row>
    <row r="2" spans="1:20" ht="19.5" customHeight="1">
      <c r="A2" s="349" t="s">
        <v>165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26"/>
    </row>
    <row r="3" spans="2:20" ht="18" customHeight="1" thickBot="1"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 t="s">
        <v>222</v>
      </c>
    </row>
    <row r="4" spans="1:20" ht="29.25" customHeight="1">
      <c r="A4" s="351" t="s">
        <v>166</v>
      </c>
      <c r="B4" s="351"/>
      <c r="C4" s="352"/>
      <c r="D4" s="238" t="s">
        <v>167</v>
      </c>
      <c r="E4" s="240"/>
      <c r="F4" s="238" t="s">
        <v>168</v>
      </c>
      <c r="G4" s="240"/>
      <c r="H4" s="238" t="s">
        <v>169</v>
      </c>
      <c r="I4" s="240"/>
      <c r="J4" s="238" t="s">
        <v>104</v>
      </c>
      <c r="K4" s="240"/>
      <c r="L4" s="339" t="s">
        <v>105</v>
      </c>
      <c r="M4" s="340"/>
      <c r="N4" s="339" t="s">
        <v>106</v>
      </c>
      <c r="O4" s="340"/>
      <c r="P4" s="238" t="s">
        <v>107</v>
      </c>
      <c r="Q4" s="240"/>
      <c r="R4" s="238" t="s">
        <v>108</v>
      </c>
      <c r="S4" s="239"/>
      <c r="T4" s="77" t="s">
        <v>109</v>
      </c>
    </row>
    <row r="5" spans="1:20" ht="16.5" customHeight="1">
      <c r="A5" s="353"/>
      <c r="B5" s="353"/>
      <c r="C5" s="354"/>
      <c r="D5" s="348" t="s">
        <v>110</v>
      </c>
      <c r="E5" s="348" t="s">
        <v>197</v>
      </c>
      <c r="F5" s="348" t="s">
        <v>110</v>
      </c>
      <c r="G5" s="348" t="s">
        <v>197</v>
      </c>
      <c r="H5" s="348" t="s">
        <v>110</v>
      </c>
      <c r="I5" s="348" t="s">
        <v>197</v>
      </c>
      <c r="J5" s="348" t="s">
        <v>110</v>
      </c>
      <c r="K5" s="348" t="s">
        <v>197</v>
      </c>
      <c r="L5" s="348" t="s">
        <v>110</v>
      </c>
      <c r="M5" s="348" t="s">
        <v>197</v>
      </c>
      <c r="N5" s="348" t="s">
        <v>110</v>
      </c>
      <c r="O5" s="348" t="s">
        <v>197</v>
      </c>
      <c r="P5" s="348" t="s">
        <v>110</v>
      </c>
      <c r="Q5" s="348" t="s">
        <v>197</v>
      </c>
      <c r="R5" s="348" t="s">
        <v>110</v>
      </c>
      <c r="S5" s="348" t="s">
        <v>197</v>
      </c>
      <c r="T5" s="350" t="s">
        <v>110</v>
      </c>
    </row>
    <row r="6" spans="1:20" ht="16.5" customHeight="1">
      <c r="A6" s="355"/>
      <c r="B6" s="355"/>
      <c r="C6" s="356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2"/>
    </row>
    <row r="7" spans="1:19" ht="16.5" customHeight="1">
      <c r="A7" s="78"/>
      <c r="B7" s="78"/>
      <c r="C7" s="79"/>
      <c r="E7" s="80"/>
      <c r="F7" s="81"/>
      <c r="G7" s="80"/>
      <c r="H7" s="81"/>
      <c r="I7" s="80"/>
      <c r="J7" s="81"/>
      <c r="K7" s="80"/>
      <c r="L7" s="80"/>
      <c r="M7" s="80"/>
      <c r="N7" s="81"/>
      <c r="O7" s="80"/>
      <c r="P7" s="81"/>
      <c r="Q7" s="80"/>
      <c r="R7" s="81"/>
      <c r="S7" s="80"/>
    </row>
    <row r="8" spans="1:234" s="85" customFormat="1" ht="16.5" customHeight="1">
      <c r="A8" s="344" t="s">
        <v>5</v>
      </c>
      <c r="B8" s="344"/>
      <c r="C8" s="347"/>
      <c r="D8" s="82">
        <f>F8+H8+J8+L8+N8+P8+R8+T8</f>
        <v>35</v>
      </c>
      <c r="E8" s="82">
        <f>G8+I8+K8+M8+O8+Q8+S8</f>
        <v>1702</v>
      </c>
      <c r="F8" s="83">
        <v>10</v>
      </c>
      <c r="G8" s="83">
        <v>16</v>
      </c>
      <c r="H8" s="83">
        <v>2</v>
      </c>
      <c r="I8" s="83">
        <v>12</v>
      </c>
      <c r="J8" s="83">
        <f>4+2</f>
        <v>6</v>
      </c>
      <c r="K8" s="83">
        <f>45+48</f>
        <v>93</v>
      </c>
      <c r="L8" s="83">
        <v>7</v>
      </c>
      <c r="M8" s="83">
        <v>260</v>
      </c>
      <c r="N8" s="83">
        <v>3</v>
      </c>
      <c r="O8" s="83">
        <v>247</v>
      </c>
      <c r="P8" s="83">
        <v>3</v>
      </c>
      <c r="Q8" s="83">
        <v>345</v>
      </c>
      <c r="R8" s="83">
        <v>2</v>
      </c>
      <c r="S8" s="83">
        <v>729</v>
      </c>
      <c r="T8" s="83">
        <v>2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</row>
    <row r="9" spans="1:234" s="85" customFormat="1" ht="16.5" customHeight="1">
      <c r="A9" s="344" t="s">
        <v>198</v>
      </c>
      <c r="B9" s="344"/>
      <c r="C9" s="347"/>
      <c r="D9" s="82">
        <f>F9+H9+J9+L9+N9+P9+R9+T9</f>
        <v>699</v>
      </c>
      <c r="E9" s="82">
        <f>G9+I9+K9+M9+O9+Q9+S9</f>
        <v>11732</v>
      </c>
      <c r="F9" s="83">
        <v>350</v>
      </c>
      <c r="G9" s="83">
        <v>773</v>
      </c>
      <c r="H9" s="83">
        <v>136</v>
      </c>
      <c r="I9" s="83">
        <v>884</v>
      </c>
      <c r="J9" s="83">
        <f>85+31</f>
        <v>116</v>
      </c>
      <c r="K9" s="83">
        <f>1126+733</f>
        <v>1859</v>
      </c>
      <c r="L9" s="83">
        <v>31</v>
      </c>
      <c r="M9" s="83">
        <v>1106</v>
      </c>
      <c r="N9" s="83">
        <v>34</v>
      </c>
      <c r="O9" s="83">
        <v>2334</v>
      </c>
      <c r="P9" s="83">
        <f>19+4</f>
        <v>23</v>
      </c>
      <c r="Q9" s="83">
        <f>2563+926</f>
        <v>3489</v>
      </c>
      <c r="R9" s="83">
        <v>3</v>
      </c>
      <c r="S9" s="83">
        <v>1287</v>
      </c>
      <c r="T9" s="83">
        <v>6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</row>
    <row r="10" spans="1:234" s="66" customFormat="1" ht="16.5" customHeight="1">
      <c r="A10" s="344" t="s">
        <v>111</v>
      </c>
      <c r="B10" s="344"/>
      <c r="C10" s="347"/>
      <c r="D10" s="82">
        <f>F10+H10+J10+L10+N10+P10+R10+T10</f>
        <v>1522</v>
      </c>
      <c r="E10" s="82">
        <f>G10+I10+K10+M10+O10+Q10+S10</f>
        <v>29566</v>
      </c>
      <c r="F10" s="83">
        <v>528</v>
      </c>
      <c r="G10" s="83">
        <v>1019</v>
      </c>
      <c r="H10" s="83">
        <v>270</v>
      </c>
      <c r="I10" s="83">
        <v>1850</v>
      </c>
      <c r="J10" s="83">
        <f>318+123</f>
        <v>441</v>
      </c>
      <c r="K10" s="83">
        <f>4392+2955</f>
        <v>7347</v>
      </c>
      <c r="L10" s="83">
        <v>147</v>
      </c>
      <c r="M10" s="83">
        <v>5522</v>
      </c>
      <c r="N10" s="83">
        <v>77</v>
      </c>
      <c r="O10" s="83">
        <v>5258</v>
      </c>
      <c r="P10" s="83">
        <f>34+5</f>
        <v>39</v>
      </c>
      <c r="Q10" s="83">
        <f>4602+1176</f>
        <v>5778</v>
      </c>
      <c r="R10" s="83">
        <v>6</v>
      </c>
      <c r="S10" s="83">
        <v>2792</v>
      </c>
      <c r="T10" s="83">
        <v>14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</row>
    <row r="11" spans="1:234" s="66" customFormat="1" ht="16.5" customHeight="1">
      <c r="A11" s="344" t="s">
        <v>112</v>
      </c>
      <c r="B11" s="344"/>
      <c r="C11" s="347"/>
      <c r="D11" s="82">
        <f>F11+H11+J11+L11+N11+P11+R11+T11</f>
        <v>17370</v>
      </c>
      <c r="E11" s="82">
        <f>G11+I11+K11+M11+O11+Q11+S11</f>
        <v>124285</v>
      </c>
      <c r="F11" s="82">
        <f>F12+F19</f>
        <v>10638</v>
      </c>
      <c r="G11" s="82">
        <f aca="true" t="shared" si="0" ref="G11:T11">G12+G19</f>
        <v>24399</v>
      </c>
      <c r="H11" s="82">
        <f t="shared" si="0"/>
        <v>3597</v>
      </c>
      <c r="I11" s="82">
        <f t="shared" si="0"/>
        <v>23180</v>
      </c>
      <c r="J11" s="82">
        <f t="shared" si="0"/>
        <v>2484</v>
      </c>
      <c r="K11" s="82">
        <f t="shared" si="0"/>
        <v>38685</v>
      </c>
      <c r="L11" s="82">
        <f t="shared" si="0"/>
        <v>302</v>
      </c>
      <c r="M11" s="82">
        <f t="shared" si="0"/>
        <v>11232</v>
      </c>
      <c r="N11" s="82">
        <f t="shared" si="0"/>
        <v>206</v>
      </c>
      <c r="O11" s="82">
        <f t="shared" si="0"/>
        <v>13851</v>
      </c>
      <c r="P11" s="82">
        <f t="shared" si="0"/>
        <v>63</v>
      </c>
      <c r="Q11" s="82">
        <f t="shared" si="0"/>
        <v>9911</v>
      </c>
      <c r="R11" s="82">
        <f>R19</f>
        <v>8</v>
      </c>
      <c r="S11" s="82">
        <f>S19</f>
        <v>3027</v>
      </c>
      <c r="T11" s="82">
        <f t="shared" si="0"/>
        <v>72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</row>
    <row r="12" spans="1:234" s="85" customFormat="1" ht="16.5" customHeight="1">
      <c r="A12" s="86"/>
      <c r="B12" s="344" t="s">
        <v>199</v>
      </c>
      <c r="C12" s="347"/>
      <c r="D12" s="82">
        <f>F12+H12+J12+L12+N12+P12+T12</f>
        <v>4584</v>
      </c>
      <c r="E12" s="82">
        <f>G12+I12+K12+M12+O12+Q12</f>
        <v>40409</v>
      </c>
      <c r="F12" s="82">
        <f>SUM(F13:F18)</f>
        <v>2355</v>
      </c>
      <c r="G12" s="82">
        <f aca="true" t="shared" si="1" ref="G12:T12">SUM(G13:G18)</f>
        <v>5864</v>
      </c>
      <c r="H12" s="82">
        <f t="shared" si="1"/>
        <v>1148</v>
      </c>
      <c r="I12" s="82">
        <f t="shared" si="1"/>
        <v>7433</v>
      </c>
      <c r="J12" s="82">
        <f t="shared" si="1"/>
        <v>830</v>
      </c>
      <c r="K12" s="82">
        <f t="shared" si="1"/>
        <v>13143</v>
      </c>
      <c r="L12" s="82">
        <f t="shared" si="1"/>
        <v>118</v>
      </c>
      <c r="M12" s="82">
        <f t="shared" si="1"/>
        <v>4333</v>
      </c>
      <c r="N12" s="82">
        <f t="shared" si="1"/>
        <v>77</v>
      </c>
      <c r="O12" s="82">
        <f t="shared" si="1"/>
        <v>4959</v>
      </c>
      <c r="P12" s="82">
        <f t="shared" si="1"/>
        <v>32</v>
      </c>
      <c r="Q12" s="82">
        <f t="shared" si="1"/>
        <v>4677</v>
      </c>
      <c r="R12" s="123" t="s">
        <v>15</v>
      </c>
      <c r="S12" s="123" t="s">
        <v>15</v>
      </c>
      <c r="T12" s="82">
        <f t="shared" si="1"/>
        <v>24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</row>
    <row r="13" spans="1:20" ht="16.5" customHeight="1">
      <c r="A13" s="78"/>
      <c r="B13" s="78"/>
      <c r="C13" s="87" t="s">
        <v>6</v>
      </c>
      <c r="D13" s="177">
        <f>F13+H13</f>
        <v>4</v>
      </c>
      <c r="E13" s="177">
        <f>G13+I13</f>
        <v>22</v>
      </c>
      <c r="F13" s="89">
        <v>1</v>
      </c>
      <c r="G13" s="89">
        <v>3</v>
      </c>
      <c r="H13" s="89">
        <v>3</v>
      </c>
      <c r="I13" s="89">
        <v>19</v>
      </c>
      <c r="J13" s="188" t="s">
        <v>15</v>
      </c>
      <c r="K13" s="188" t="s">
        <v>15</v>
      </c>
      <c r="L13" s="188" t="s">
        <v>15</v>
      </c>
      <c r="M13" s="188" t="s">
        <v>15</v>
      </c>
      <c r="N13" s="188" t="s">
        <v>15</v>
      </c>
      <c r="O13" s="188" t="s">
        <v>15</v>
      </c>
      <c r="P13" s="188" t="s">
        <v>15</v>
      </c>
      <c r="Q13" s="188" t="s">
        <v>15</v>
      </c>
      <c r="R13" s="188" t="s">
        <v>15</v>
      </c>
      <c r="S13" s="188" t="s">
        <v>15</v>
      </c>
      <c r="T13" s="188" t="s">
        <v>15</v>
      </c>
    </row>
    <row r="14" spans="1:20" ht="16.5" customHeight="1">
      <c r="A14" s="78" t="s">
        <v>7</v>
      </c>
      <c r="B14" s="78"/>
      <c r="C14" s="87" t="s">
        <v>77</v>
      </c>
      <c r="D14" s="177">
        <f>F14+H14+J14+L14+N14</f>
        <v>266</v>
      </c>
      <c r="E14" s="177">
        <f>G14+I14+K14+M14+O14</f>
        <v>1970</v>
      </c>
      <c r="F14" s="89">
        <v>160</v>
      </c>
      <c r="G14" s="89">
        <v>380</v>
      </c>
      <c r="H14" s="89">
        <v>56</v>
      </c>
      <c r="I14" s="89">
        <v>360</v>
      </c>
      <c r="J14" s="89">
        <f>29+6</f>
        <v>35</v>
      </c>
      <c r="K14" s="89">
        <f>393+143</f>
        <v>536</v>
      </c>
      <c r="L14" s="89">
        <v>9</v>
      </c>
      <c r="M14" s="89">
        <v>330</v>
      </c>
      <c r="N14" s="89">
        <v>6</v>
      </c>
      <c r="O14" s="89">
        <v>364</v>
      </c>
      <c r="P14" s="188" t="s">
        <v>15</v>
      </c>
      <c r="Q14" s="188" t="s">
        <v>15</v>
      </c>
      <c r="R14" s="188" t="s">
        <v>15</v>
      </c>
      <c r="S14" s="188" t="s">
        <v>15</v>
      </c>
      <c r="T14" s="188" t="s">
        <v>15</v>
      </c>
    </row>
    <row r="15" spans="1:20" ht="16.5" customHeight="1">
      <c r="A15" s="78"/>
      <c r="B15" s="78"/>
      <c r="C15" s="87" t="s">
        <v>78</v>
      </c>
      <c r="D15" s="177">
        <f>F15+H15+J15+L15+N15+P15+T15</f>
        <v>893</v>
      </c>
      <c r="E15" s="177">
        <f>G15+I15+K15+M15+O15+Q15</f>
        <v>10221</v>
      </c>
      <c r="F15" s="89">
        <v>394</v>
      </c>
      <c r="G15" s="89">
        <v>969</v>
      </c>
      <c r="H15" s="89">
        <v>206</v>
      </c>
      <c r="I15" s="89">
        <v>1362</v>
      </c>
      <c r="J15" s="89">
        <f>141+70</f>
        <v>211</v>
      </c>
      <c r="K15" s="89">
        <f>1925+1655</f>
        <v>3580</v>
      </c>
      <c r="L15" s="89">
        <v>45</v>
      </c>
      <c r="M15" s="89">
        <v>1638</v>
      </c>
      <c r="N15" s="89">
        <v>27</v>
      </c>
      <c r="O15" s="89">
        <v>1673</v>
      </c>
      <c r="P15" s="89">
        <f>6+1</f>
        <v>7</v>
      </c>
      <c r="Q15" s="89">
        <f>742+257</f>
        <v>999</v>
      </c>
      <c r="R15" s="188" t="s">
        <v>15</v>
      </c>
      <c r="S15" s="188" t="s">
        <v>15</v>
      </c>
      <c r="T15" s="89">
        <v>3</v>
      </c>
    </row>
    <row r="16" spans="1:20" ht="16.5" customHeight="1">
      <c r="A16" s="78"/>
      <c r="B16" s="78"/>
      <c r="C16" s="87" t="s">
        <v>79</v>
      </c>
      <c r="D16" s="177">
        <f>F16+H16+J16+L16+N16+P16+T16</f>
        <v>953</v>
      </c>
      <c r="E16" s="177">
        <f>G16+I16+K16+M16+O16+Q16</f>
        <v>6962</v>
      </c>
      <c r="F16" s="89">
        <v>506</v>
      </c>
      <c r="G16" s="89">
        <v>1280</v>
      </c>
      <c r="H16" s="89">
        <v>249</v>
      </c>
      <c r="I16" s="89">
        <v>1613</v>
      </c>
      <c r="J16" s="89">
        <f>133+30</f>
        <v>163</v>
      </c>
      <c r="K16" s="89">
        <f>1689+730</f>
        <v>2419</v>
      </c>
      <c r="L16" s="89">
        <v>16</v>
      </c>
      <c r="M16" s="89">
        <v>596</v>
      </c>
      <c r="N16" s="89">
        <v>7</v>
      </c>
      <c r="O16" s="89">
        <v>524</v>
      </c>
      <c r="P16" s="89">
        <v>4</v>
      </c>
      <c r="Q16" s="89">
        <v>530</v>
      </c>
      <c r="R16" s="188" t="s">
        <v>15</v>
      </c>
      <c r="S16" s="188" t="s">
        <v>15</v>
      </c>
      <c r="T16" s="89">
        <v>8</v>
      </c>
    </row>
    <row r="17" spans="1:234" s="15" customFormat="1" ht="16.5" customHeight="1">
      <c r="A17" s="78"/>
      <c r="B17" s="78"/>
      <c r="C17" s="87" t="s">
        <v>80</v>
      </c>
      <c r="D17" s="177">
        <f>F17+H17+J17+L17+N17+P17+T17</f>
        <v>1340</v>
      </c>
      <c r="E17" s="177">
        <f>G17+I17+K17+M17+O17+Q17</f>
        <v>12016</v>
      </c>
      <c r="F17" s="89">
        <v>652</v>
      </c>
      <c r="G17" s="89">
        <v>1674</v>
      </c>
      <c r="H17" s="89">
        <v>391</v>
      </c>
      <c r="I17" s="89">
        <v>2536</v>
      </c>
      <c r="J17" s="89">
        <f>186+49</f>
        <v>235</v>
      </c>
      <c r="K17" s="89">
        <f>2512+1179</f>
        <v>3691</v>
      </c>
      <c r="L17" s="89">
        <v>22</v>
      </c>
      <c r="M17" s="89">
        <v>832</v>
      </c>
      <c r="N17" s="89">
        <v>21</v>
      </c>
      <c r="O17" s="89">
        <v>1354</v>
      </c>
      <c r="P17" s="89">
        <f>10+3</f>
        <v>13</v>
      </c>
      <c r="Q17" s="89">
        <f>1188+741</f>
        <v>1929</v>
      </c>
      <c r="R17" s="188" t="s">
        <v>15</v>
      </c>
      <c r="S17" s="188" t="s">
        <v>15</v>
      </c>
      <c r="T17" s="89">
        <v>6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</row>
    <row r="18" spans="1:20" ht="16.5" customHeight="1">
      <c r="A18" s="78"/>
      <c r="B18" s="78"/>
      <c r="C18" s="87" t="s">
        <v>154</v>
      </c>
      <c r="D18" s="177">
        <f>F18+H18+J18+L18+N18+P18+T18</f>
        <v>1128</v>
      </c>
      <c r="E18" s="177">
        <f>G18+I18+K18+M18+O18+Q18</f>
        <v>9218</v>
      </c>
      <c r="F18" s="89">
        <v>642</v>
      </c>
      <c r="G18" s="89">
        <v>1558</v>
      </c>
      <c r="H18" s="89">
        <v>243</v>
      </c>
      <c r="I18" s="89">
        <v>1543</v>
      </c>
      <c r="J18" s="89">
        <f>140+46</f>
        <v>186</v>
      </c>
      <c r="K18" s="89">
        <f>1847+1070</f>
        <v>2917</v>
      </c>
      <c r="L18" s="89">
        <v>26</v>
      </c>
      <c r="M18" s="89">
        <v>937</v>
      </c>
      <c r="N18" s="89">
        <v>16</v>
      </c>
      <c r="O18" s="89">
        <v>1044</v>
      </c>
      <c r="P18" s="89">
        <f>6+2</f>
        <v>8</v>
      </c>
      <c r="Q18" s="89">
        <f>731+488</f>
        <v>1219</v>
      </c>
      <c r="R18" s="188" t="s">
        <v>15</v>
      </c>
      <c r="S18" s="188" t="s">
        <v>15</v>
      </c>
      <c r="T18" s="89">
        <v>7</v>
      </c>
    </row>
    <row r="19" spans="1:20" s="66" customFormat="1" ht="16.5" customHeight="1">
      <c r="A19" s="86"/>
      <c r="B19" s="344" t="s">
        <v>155</v>
      </c>
      <c r="C19" s="347"/>
      <c r="D19" s="82">
        <f>F19+H19+J19+L19+N19+P19+R19+T19</f>
        <v>12786</v>
      </c>
      <c r="E19" s="82">
        <f>G19+I19+K19+M19+O19+Q19+S19</f>
        <v>83876</v>
      </c>
      <c r="F19" s="82">
        <f>SUM(F20:F25)</f>
        <v>8283</v>
      </c>
      <c r="G19" s="82">
        <f aca="true" t="shared" si="2" ref="G19:T19">SUM(G20:G25)</f>
        <v>18535</v>
      </c>
      <c r="H19" s="82">
        <f t="shared" si="2"/>
        <v>2449</v>
      </c>
      <c r="I19" s="82">
        <f t="shared" si="2"/>
        <v>15747</v>
      </c>
      <c r="J19" s="82">
        <f t="shared" si="2"/>
        <v>1654</v>
      </c>
      <c r="K19" s="82">
        <f t="shared" si="2"/>
        <v>25542</v>
      </c>
      <c r="L19" s="82">
        <f t="shared" si="2"/>
        <v>184</v>
      </c>
      <c r="M19" s="82">
        <f t="shared" si="2"/>
        <v>6899</v>
      </c>
      <c r="N19" s="82">
        <f t="shared" si="2"/>
        <v>129</v>
      </c>
      <c r="O19" s="82">
        <f t="shared" si="2"/>
        <v>8892</v>
      </c>
      <c r="P19" s="82">
        <f t="shared" si="2"/>
        <v>31</v>
      </c>
      <c r="Q19" s="82">
        <f t="shared" si="2"/>
        <v>5234</v>
      </c>
      <c r="R19" s="82">
        <f t="shared" si="2"/>
        <v>8</v>
      </c>
      <c r="S19" s="82">
        <f t="shared" si="2"/>
        <v>3027</v>
      </c>
      <c r="T19" s="82">
        <f t="shared" si="2"/>
        <v>48</v>
      </c>
    </row>
    <row r="20" spans="1:20" ht="16.5" customHeight="1">
      <c r="A20" s="78"/>
      <c r="B20" s="78"/>
      <c r="C20" s="87" t="s">
        <v>156</v>
      </c>
      <c r="D20" s="177">
        <f>F20+H20+J20+N20+P20+R20</f>
        <v>36</v>
      </c>
      <c r="E20" s="177">
        <f>G20+I20+K20+O20+Q20+S20</f>
        <v>6171</v>
      </c>
      <c r="F20" s="89">
        <v>7</v>
      </c>
      <c r="G20" s="89">
        <v>10</v>
      </c>
      <c r="H20" s="89">
        <v>1</v>
      </c>
      <c r="I20" s="89">
        <v>9</v>
      </c>
      <c r="J20" s="89">
        <v>1</v>
      </c>
      <c r="K20" s="89">
        <v>11</v>
      </c>
      <c r="L20" s="188" t="s">
        <v>15</v>
      </c>
      <c r="M20" s="188" t="s">
        <v>15</v>
      </c>
      <c r="N20" s="89">
        <v>7</v>
      </c>
      <c r="O20" s="89">
        <v>487</v>
      </c>
      <c r="P20" s="89">
        <f>4+9</f>
        <v>13</v>
      </c>
      <c r="Q20" s="89">
        <f>742+2219</f>
        <v>2961</v>
      </c>
      <c r="R20" s="89">
        <v>7</v>
      </c>
      <c r="S20" s="89">
        <v>2693</v>
      </c>
      <c r="T20" s="188" t="s">
        <v>15</v>
      </c>
    </row>
    <row r="21" spans="1:20" ht="16.5" customHeight="1">
      <c r="A21" s="78"/>
      <c r="B21" s="78"/>
      <c r="C21" s="87" t="s">
        <v>157</v>
      </c>
      <c r="D21" s="177">
        <f>F21+H21+J21+L21+N21+T21</f>
        <v>1787</v>
      </c>
      <c r="E21" s="177">
        <f>G21+I21+K21+M21+O21</f>
        <v>6776</v>
      </c>
      <c r="F21" s="89">
        <v>1296</v>
      </c>
      <c r="G21" s="89">
        <v>2868</v>
      </c>
      <c r="H21" s="89">
        <v>368</v>
      </c>
      <c r="I21" s="89">
        <v>2331</v>
      </c>
      <c r="J21" s="89">
        <f>90+9</f>
        <v>99</v>
      </c>
      <c r="K21" s="89">
        <f>1188+206</f>
        <v>1394</v>
      </c>
      <c r="L21" s="89">
        <v>3</v>
      </c>
      <c r="M21" s="89">
        <v>127</v>
      </c>
      <c r="N21" s="89">
        <v>1</v>
      </c>
      <c r="O21" s="89">
        <v>56</v>
      </c>
      <c r="P21" s="188" t="s">
        <v>15</v>
      </c>
      <c r="Q21" s="188" t="s">
        <v>15</v>
      </c>
      <c r="R21" s="188" t="s">
        <v>15</v>
      </c>
      <c r="S21" s="188" t="s">
        <v>15</v>
      </c>
      <c r="T21" s="89">
        <v>20</v>
      </c>
    </row>
    <row r="22" spans="1:20" ht="16.5" customHeight="1">
      <c r="A22" s="78"/>
      <c r="B22" s="78"/>
      <c r="C22" s="87" t="s">
        <v>158</v>
      </c>
      <c r="D22" s="177">
        <f>F22+H22+J22+L22+N22+P22+R22+T22</f>
        <v>4148</v>
      </c>
      <c r="E22" s="177">
        <f>G22+I22+K22+M22+O22+Q22+S22</f>
        <v>30659</v>
      </c>
      <c r="F22" s="89">
        <v>2747</v>
      </c>
      <c r="G22" s="89">
        <v>6069</v>
      </c>
      <c r="H22" s="89">
        <v>572</v>
      </c>
      <c r="I22" s="89">
        <v>3729</v>
      </c>
      <c r="J22" s="89">
        <f>506+139</f>
        <v>645</v>
      </c>
      <c r="K22" s="89">
        <f>6934+3268</f>
        <v>10202</v>
      </c>
      <c r="L22" s="89">
        <v>85</v>
      </c>
      <c r="M22" s="89">
        <v>3221</v>
      </c>
      <c r="N22" s="89">
        <v>82</v>
      </c>
      <c r="O22" s="89">
        <v>5700</v>
      </c>
      <c r="P22" s="89">
        <v>11</v>
      </c>
      <c r="Q22" s="89">
        <v>1404</v>
      </c>
      <c r="R22" s="89">
        <v>1</v>
      </c>
      <c r="S22" s="89">
        <v>334</v>
      </c>
      <c r="T22" s="89">
        <v>5</v>
      </c>
    </row>
    <row r="23" spans="1:20" ht="16.5" customHeight="1">
      <c r="A23" s="78"/>
      <c r="B23" s="78"/>
      <c r="C23" s="87" t="s">
        <v>252</v>
      </c>
      <c r="D23" s="177">
        <f>F23+H23+J23+L23+N23+P23+T23</f>
        <v>1792</v>
      </c>
      <c r="E23" s="177">
        <f>G23+I23+K23+M23+O23+Q23</f>
        <v>10919</v>
      </c>
      <c r="F23" s="89">
        <v>1085</v>
      </c>
      <c r="G23" s="89">
        <v>2505</v>
      </c>
      <c r="H23" s="89">
        <v>403</v>
      </c>
      <c r="I23" s="89">
        <v>2572</v>
      </c>
      <c r="J23" s="89">
        <f>225+40</f>
        <v>265</v>
      </c>
      <c r="K23" s="89">
        <f>2958+979</f>
        <v>3937</v>
      </c>
      <c r="L23" s="89">
        <v>24</v>
      </c>
      <c r="M23" s="89">
        <v>883</v>
      </c>
      <c r="N23" s="89">
        <v>12</v>
      </c>
      <c r="O23" s="89">
        <v>901</v>
      </c>
      <c r="P23" s="89">
        <v>1</v>
      </c>
      <c r="Q23" s="89">
        <v>121</v>
      </c>
      <c r="R23" s="188" t="s">
        <v>15</v>
      </c>
      <c r="S23" s="188" t="s">
        <v>15</v>
      </c>
      <c r="T23" s="89">
        <v>2</v>
      </c>
    </row>
    <row r="24" spans="1:234" s="15" customFormat="1" ht="16.5" customHeight="1">
      <c r="A24" s="78"/>
      <c r="B24" s="78"/>
      <c r="C24" s="87" t="s">
        <v>159</v>
      </c>
      <c r="D24" s="177">
        <f>F24+H24+J24+L24+N24+P24+T24</f>
        <v>4915</v>
      </c>
      <c r="E24" s="177">
        <f>G24+I24+K24+M24+O24+Q24</f>
        <v>28614</v>
      </c>
      <c r="F24" s="89">
        <v>3076</v>
      </c>
      <c r="G24" s="89">
        <v>6954</v>
      </c>
      <c r="H24" s="89">
        <v>1083</v>
      </c>
      <c r="I24" s="89">
        <v>6971</v>
      </c>
      <c r="J24" s="89">
        <f>503+134</f>
        <v>637</v>
      </c>
      <c r="K24" s="89">
        <f>6704+3166</f>
        <v>9870</v>
      </c>
      <c r="L24" s="89">
        <v>68</v>
      </c>
      <c r="M24" s="89">
        <v>2513</v>
      </c>
      <c r="N24" s="89">
        <v>26</v>
      </c>
      <c r="O24" s="89">
        <v>1670</v>
      </c>
      <c r="P24" s="89">
        <v>5</v>
      </c>
      <c r="Q24" s="89">
        <v>636</v>
      </c>
      <c r="R24" s="188" t="s">
        <v>15</v>
      </c>
      <c r="S24" s="188" t="s">
        <v>15</v>
      </c>
      <c r="T24" s="89">
        <v>20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</row>
    <row r="25" spans="1:234" ht="16.5" customHeight="1">
      <c r="A25" s="78"/>
      <c r="B25" s="78"/>
      <c r="C25" s="87" t="s">
        <v>253</v>
      </c>
      <c r="D25" s="177">
        <f>F25+H25+J25+L25+N25+P25+T25</f>
        <v>108</v>
      </c>
      <c r="E25" s="177">
        <f>G25+I25+K25+M25+O25+Q25</f>
        <v>737</v>
      </c>
      <c r="F25" s="89">
        <v>72</v>
      </c>
      <c r="G25" s="89">
        <v>129</v>
      </c>
      <c r="H25" s="89">
        <v>22</v>
      </c>
      <c r="I25" s="89">
        <v>135</v>
      </c>
      <c r="J25" s="89">
        <f>4+3</f>
        <v>7</v>
      </c>
      <c r="K25" s="89">
        <f>50+78</f>
        <v>128</v>
      </c>
      <c r="L25" s="89">
        <v>4</v>
      </c>
      <c r="M25" s="89">
        <v>155</v>
      </c>
      <c r="N25" s="89">
        <v>1</v>
      </c>
      <c r="O25" s="89">
        <v>78</v>
      </c>
      <c r="P25" s="89">
        <v>1</v>
      </c>
      <c r="Q25" s="89">
        <v>112</v>
      </c>
      <c r="R25" s="188" t="s">
        <v>15</v>
      </c>
      <c r="S25" s="188" t="s">
        <v>15</v>
      </c>
      <c r="T25" s="89">
        <v>1</v>
      </c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</row>
    <row r="26" spans="1:234" s="85" customFormat="1" ht="16.5" customHeight="1">
      <c r="A26" s="344" t="s">
        <v>28</v>
      </c>
      <c r="B26" s="344"/>
      <c r="C26" s="347"/>
      <c r="D26" s="82">
        <f>F26+H26+J26+L26+N26+P26+R26+T26</f>
        <v>1102</v>
      </c>
      <c r="E26" s="82">
        <f>G26+I26+K26+M26+O26+Q26+S26</f>
        <v>14750</v>
      </c>
      <c r="F26" s="83">
        <v>429</v>
      </c>
      <c r="G26" s="83">
        <v>949</v>
      </c>
      <c r="H26" s="83">
        <v>250</v>
      </c>
      <c r="I26" s="83">
        <v>1667</v>
      </c>
      <c r="J26" s="83">
        <f>227+72</f>
        <v>299</v>
      </c>
      <c r="K26" s="83">
        <f>3090+1742</f>
        <v>4832</v>
      </c>
      <c r="L26" s="83">
        <v>70</v>
      </c>
      <c r="M26" s="83">
        <v>2689</v>
      </c>
      <c r="N26" s="83">
        <v>38</v>
      </c>
      <c r="O26" s="83">
        <v>2487</v>
      </c>
      <c r="P26" s="83">
        <f>6+1</f>
        <v>7</v>
      </c>
      <c r="Q26" s="83">
        <f>942+260</f>
        <v>1202</v>
      </c>
      <c r="R26" s="83">
        <v>2</v>
      </c>
      <c r="S26" s="83">
        <v>924</v>
      </c>
      <c r="T26" s="89">
        <v>7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</row>
    <row r="27" spans="1:234" s="85" customFormat="1" ht="16.5" customHeight="1">
      <c r="A27" s="344" t="s">
        <v>29</v>
      </c>
      <c r="B27" s="344"/>
      <c r="C27" s="347"/>
      <c r="D27" s="82">
        <f>F27+H27+J27+L27+N27+P27+T27</f>
        <v>3351</v>
      </c>
      <c r="E27" s="82">
        <f>G27+I27+K27+M27+O27+Q27</f>
        <v>10787</v>
      </c>
      <c r="F27" s="83">
        <v>2803</v>
      </c>
      <c r="G27" s="83">
        <v>5322</v>
      </c>
      <c r="H27" s="83">
        <v>349</v>
      </c>
      <c r="I27" s="83">
        <v>2195</v>
      </c>
      <c r="J27" s="83">
        <f>112+38</f>
        <v>150</v>
      </c>
      <c r="K27" s="83">
        <f>1463+893</f>
        <v>2356</v>
      </c>
      <c r="L27" s="83">
        <v>15</v>
      </c>
      <c r="M27" s="83">
        <v>570</v>
      </c>
      <c r="N27" s="83">
        <v>3</v>
      </c>
      <c r="O27" s="83">
        <v>157</v>
      </c>
      <c r="P27" s="83">
        <v>1</v>
      </c>
      <c r="Q27" s="83">
        <v>187</v>
      </c>
      <c r="R27" s="83" t="s">
        <v>15</v>
      </c>
      <c r="S27" s="83" t="s">
        <v>15</v>
      </c>
      <c r="T27" s="83">
        <v>30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</row>
    <row r="28" spans="1:234" s="85" customFormat="1" ht="16.5" customHeight="1">
      <c r="A28" s="344" t="s">
        <v>30</v>
      </c>
      <c r="B28" s="345"/>
      <c r="C28" s="346"/>
      <c r="D28" s="82">
        <f>F28+H28+J28+L28+N28+P28+T28</f>
        <v>2369</v>
      </c>
      <c r="E28" s="82">
        <f>G28+I28+K28+M28+O28+Q28</f>
        <v>12732</v>
      </c>
      <c r="F28" s="83">
        <v>1644</v>
      </c>
      <c r="G28" s="83">
        <v>3517</v>
      </c>
      <c r="H28" s="83">
        <v>461</v>
      </c>
      <c r="I28" s="83">
        <v>2960</v>
      </c>
      <c r="J28" s="83">
        <f>168+44</f>
        <v>212</v>
      </c>
      <c r="K28" s="83">
        <f>2205+1036</f>
        <v>3241</v>
      </c>
      <c r="L28" s="83">
        <v>21</v>
      </c>
      <c r="M28" s="83">
        <v>780</v>
      </c>
      <c r="N28" s="83">
        <v>11</v>
      </c>
      <c r="O28" s="83">
        <v>772</v>
      </c>
      <c r="P28" s="83">
        <f>8+1</f>
        <v>9</v>
      </c>
      <c r="Q28" s="83">
        <f>1249+213</f>
        <v>1462</v>
      </c>
      <c r="R28" s="83" t="s">
        <v>15</v>
      </c>
      <c r="S28" s="83" t="s">
        <v>15</v>
      </c>
      <c r="T28" s="83">
        <v>11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</row>
    <row r="29" spans="1:20" s="66" customFormat="1" ht="16.5" customHeight="1">
      <c r="A29" s="344" t="s">
        <v>31</v>
      </c>
      <c r="B29" s="344"/>
      <c r="C29" s="347"/>
      <c r="D29" s="82">
        <f>F29+H29+J29+L29+N29+P29+R29+T29</f>
        <v>7764</v>
      </c>
      <c r="E29" s="82">
        <f>G29+I29+K29+M29+O29+Q29+S29</f>
        <v>56200</v>
      </c>
      <c r="F29" s="83">
        <v>4719</v>
      </c>
      <c r="G29" s="83">
        <v>10369</v>
      </c>
      <c r="H29" s="83">
        <v>1540</v>
      </c>
      <c r="I29" s="83">
        <v>10002</v>
      </c>
      <c r="J29" s="83">
        <f>902+299</f>
        <v>1201</v>
      </c>
      <c r="K29" s="83">
        <f>11951+7116</f>
        <v>19067</v>
      </c>
      <c r="L29" s="83">
        <v>179</v>
      </c>
      <c r="M29" s="83">
        <v>6646</v>
      </c>
      <c r="N29" s="83">
        <v>77</v>
      </c>
      <c r="O29" s="83">
        <v>5134</v>
      </c>
      <c r="P29" s="83">
        <f>26+3</f>
        <v>29</v>
      </c>
      <c r="Q29" s="83">
        <f>3234+734</f>
        <v>3968</v>
      </c>
      <c r="R29" s="83">
        <v>2</v>
      </c>
      <c r="S29" s="83">
        <v>1014</v>
      </c>
      <c r="T29" s="83">
        <v>17</v>
      </c>
    </row>
    <row r="30" spans="1:20" s="66" customFormat="1" ht="16.5" customHeight="1">
      <c r="A30" s="344" t="s">
        <v>32</v>
      </c>
      <c r="B30" s="345"/>
      <c r="C30" s="346"/>
      <c r="D30" s="82">
        <f>F30+H30+J30+L30+N30+P30+T30</f>
        <v>5381</v>
      </c>
      <c r="E30" s="82">
        <f>G30+I30+K30+M30+O30+Q30</f>
        <v>24284</v>
      </c>
      <c r="F30" s="83">
        <v>4298</v>
      </c>
      <c r="G30" s="83">
        <v>8138</v>
      </c>
      <c r="H30" s="83">
        <v>568</v>
      </c>
      <c r="I30" s="83">
        <v>3634</v>
      </c>
      <c r="J30" s="83">
        <f>270+83</f>
        <v>353</v>
      </c>
      <c r="K30" s="83">
        <f>3656+2000</f>
        <v>5656</v>
      </c>
      <c r="L30" s="83">
        <v>83</v>
      </c>
      <c r="M30" s="83">
        <v>3136</v>
      </c>
      <c r="N30" s="83">
        <v>38</v>
      </c>
      <c r="O30" s="83">
        <v>2583</v>
      </c>
      <c r="P30" s="83">
        <f>7+1</f>
        <v>8</v>
      </c>
      <c r="Q30" s="83">
        <f>921+216</f>
        <v>1137</v>
      </c>
      <c r="R30" s="83" t="s">
        <v>15</v>
      </c>
      <c r="S30" s="83" t="s">
        <v>15</v>
      </c>
      <c r="T30" s="83">
        <v>33</v>
      </c>
    </row>
    <row r="31" spans="1:20" s="66" customFormat="1" ht="16.5" customHeight="1">
      <c r="A31" s="344" t="s">
        <v>33</v>
      </c>
      <c r="B31" s="344"/>
      <c r="C31" s="347"/>
      <c r="D31" s="82">
        <f>F31+H31+J31+L31+N31+P31+R31+T31</f>
        <v>1973</v>
      </c>
      <c r="E31" s="82">
        <f>G31+I31+K31+M31+O31+Q31+S31</f>
        <v>16038</v>
      </c>
      <c r="F31" s="82">
        <f>F32+F33</f>
        <v>1506</v>
      </c>
      <c r="G31" s="82">
        <f aca="true" t="shared" si="3" ref="G31:Q31">G32+G33</f>
        <v>2364</v>
      </c>
      <c r="H31" s="82">
        <f t="shared" si="3"/>
        <v>205</v>
      </c>
      <c r="I31" s="82">
        <f t="shared" si="3"/>
        <v>1304</v>
      </c>
      <c r="J31" s="82">
        <f t="shared" si="3"/>
        <v>170</v>
      </c>
      <c r="K31" s="82">
        <f t="shared" si="3"/>
        <v>2741</v>
      </c>
      <c r="L31" s="82">
        <f t="shared" si="3"/>
        <v>30</v>
      </c>
      <c r="M31" s="82">
        <f t="shared" si="3"/>
        <v>1106</v>
      </c>
      <c r="N31" s="82">
        <f t="shared" si="3"/>
        <v>25</v>
      </c>
      <c r="O31" s="82">
        <f t="shared" si="3"/>
        <v>1633</v>
      </c>
      <c r="P31" s="82">
        <f t="shared" si="3"/>
        <v>12</v>
      </c>
      <c r="Q31" s="82">
        <f t="shared" si="3"/>
        <v>1728</v>
      </c>
      <c r="R31" s="82">
        <f>R32</f>
        <v>4</v>
      </c>
      <c r="S31" s="82">
        <f>S32</f>
        <v>5162</v>
      </c>
      <c r="T31" s="82">
        <f>T33</f>
        <v>21</v>
      </c>
    </row>
    <row r="32" spans="1:20" ht="16.5" customHeight="1">
      <c r="A32" s="78"/>
      <c r="B32" s="78"/>
      <c r="C32" s="87" t="s">
        <v>137</v>
      </c>
      <c r="D32" s="177">
        <f>F32+H32+J32+L32+N32+P32+R32</f>
        <v>142</v>
      </c>
      <c r="E32" s="177">
        <f>G32+I32+K32+M32+O32+Q32+S32</f>
        <v>9634</v>
      </c>
      <c r="F32" s="89">
        <v>7</v>
      </c>
      <c r="G32" s="89">
        <v>15</v>
      </c>
      <c r="H32" s="89">
        <v>20</v>
      </c>
      <c r="I32" s="89">
        <v>139</v>
      </c>
      <c r="J32" s="89">
        <f>58+9</f>
        <v>67</v>
      </c>
      <c r="K32" s="89">
        <f>805+204</f>
        <v>1009</v>
      </c>
      <c r="L32" s="89">
        <v>17</v>
      </c>
      <c r="M32" s="89">
        <v>630</v>
      </c>
      <c r="N32" s="89">
        <v>16</v>
      </c>
      <c r="O32" s="89">
        <v>1072</v>
      </c>
      <c r="P32" s="89">
        <f>10+1</f>
        <v>11</v>
      </c>
      <c r="Q32" s="89">
        <f>1370+237</f>
        <v>1607</v>
      </c>
      <c r="R32" s="89">
        <v>4</v>
      </c>
      <c r="S32" s="89">
        <v>5162</v>
      </c>
      <c r="T32" s="188" t="s">
        <v>15</v>
      </c>
    </row>
    <row r="33" spans="1:20" ht="16.5" customHeight="1">
      <c r="A33" s="78"/>
      <c r="B33" s="78"/>
      <c r="C33" s="87" t="s">
        <v>138</v>
      </c>
      <c r="D33" s="177">
        <f>F33+H33+J33+L33+N33+P33+T33</f>
        <v>1831</v>
      </c>
      <c r="E33" s="177">
        <f>G33+I33+K33+M33+O33+Q33</f>
        <v>6404</v>
      </c>
      <c r="F33" s="89">
        <v>1499</v>
      </c>
      <c r="G33" s="89">
        <v>2349</v>
      </c>
      <c r="H33" s="89">
        <v>185</v>
      </c>
      <c r="I33" s="89">
        <v>1165</v>
      </c>
      <c r="J33" s="89">
        <f>71+32</f>
        <v>103</v>
      </c>
      <c r="K33" s="89">
        <f>958+774</f>
        <v>1732</v>
      </c>
      <c r="L33" s="89">
        <v>13</v>
      </c>
      <c r="M33" s="89">
        <v>476</v>
      </c>
      <c r="N33" s="89">
        <v>9</v>
      </c>
      <c r="O33" s="89">
        <v>561</v>
      </c>
      <c r="P33" s="89">
        <v>1</v>
      </c>
      <c r="Q33" s="89">
        <v>121</v>
      </c>
      <c r="R33" s="188" t="s">
        <v>15</v>
      </c>
      <c r="S33" s="188" t="s">
        <v>15</v>
      </c>
      <c r="T33" s="89">
        <v>21</v>
      </c>
    </row>
    <row r="34" spans="1:20" s="66" customFormat="1" ht="16.5" customHeight="1">
      <c r="A34" s="344" t="s">
        <v>34</v>
      </c>
      <c r="B34" s="344"/>
      <c r="C34" s="347"/>
      <c r="D34" s="82">
        <f>F34+H34+J34+L34+N34+P34+R34+T34</f>
        <v>3210</v>
      </c>
      <c r="E34" s="82">
        <f>G34+I34+K34+M34+O34+Q34+S34</f>
        <v>53574</v>
      </c>
      <c r="F34" s="82">
        <f>F35+F36+F37</f>
        <v>1279</v>
      </c>
      <c r="G34" s="82">
        <f aca="true" t="shared" si="4" ref="G34:Q34">G35+G36+G37</f>
        <v>2846</v>
      </c>
      <c r="H34" s="82">
        <f t="shared" si="4"/>
        <v>862</v>
      </c>
      <c r="I34" s="82">
        <f t="shared" si="4"/>
        <v>5768</v>
      </c>
      <c r="J34" s="82">
        <f t="shared" si="4"/>
        <v>707</v>
      </c>
      <c r="K34" s="82">
        <f t="shared" si="4"/>
        <v>11451</v>
      </c>
      <c r="L34" s="82">
        <f>L35+L37</f>
        <v>147</v>
      </c>
      <c r="M34" s="82">
        <f>M35+M37</f>
        <v>5488</v>
      </c>
      <c r="N34" s="82">
        <f>N35+N37</f>
        <v>122</v>
      </c>
      <c r="O34" s="82">
        <f>O35+O37</f>
        <v>8145</v>
      </c>
      <c r="P34" s="82">
        <f t="shared" si="4"/>
        <v>66</v>
      </c>
      <c r="Q34" s="82">
        <f t="shared" si="4"/>
        <v>9983</v>
      </c>
      <c r="R34" s="82">
        <f>R35+R37</f>
        <v>17</v>
      </c>
      <c r="S34" s="82">
        <f>S35+S37</f>
        <v>9893</v>
      </c>
      <c r="T34" s="82">
        <f>T35+T37</f>
        <v>10</v>
      </c>
    </row>
    <row r="35" spans="1:20" ht="16.5" customHeight="1">
      <c r="A35" s="78"/>
      <c r="B35" s="78"/>
      <c r="C35" s="87" t="s">
        <v>134</v>
      </c>
      <c r="D35" s="177">
        <f>F35+H35+J35+L35+N35+P35+R35+T35</f>
        <v>2118</v>
      </c>
      <c r="E35" s="177">
        <f>G35+I35+K35+M35+O35+Q35+S35</f>
        <v>29266</v>
      </c>
      <c r="F35" s="89">
        <v>1053</v>
      </c>
      <c r="G35" s="89">
        <v>2271</v>
      </c>
      <c r="H35" s="89">
        <v>672</v>
      </c>
      <c r="I35" s="89">
        <v>4454</v>
      </c>
      <c r="J35" s="89">
        <f>239+39</f>
        <v>278</v>
      </c>
      <c r="K35" s="89">
        <f>2988+933</f>
        <v>3921</v>
      </c>
      <c r="L35" s="89">
        <v>28</v>
      </c>
      <c r="M35" s="89">
        <v>1049</v>
      </c>
      <c r="N35" s="89">
        <v>31</v>
      </c>
      <c r="O35" s="89">
        <v>1990</v>
      </c>
      <c r="P35" s="89">
        <f>30+7</f>
        <v>37</v>
      </c>
      <c r="Q35" s="89">
        <f>4166+1827</f>
        <v>5993</v>
      </c>
      <c r="R35" s="89">
        <v>16</v>
      </c>
      <c r="S35" s="89">
        <v>9588</v>
      </c>
      <c r="T35" s="89">
        <v>3</v>
      </c>
    </row>
    <row r="36" spans="1:20" ht="16.5" customHeight="1">
      <c r="A36" s="78"/>
      <c r="B36" s="78"/>
      <c r="C36" s="87" t="s">
        <v>135</v>
      </c>
      <c r="D36" s="177">
        <f>F36+H36+J36+P36</f>
        <v>15</v>
      </c>
      <c r="E36" s="177">
        <f>G36+I36+K36+Q36</f>
        <v>357</v>
      </c>
      <c r="F36" s="89">
        <v>7</v>
      </c>
      <c r="G36" s="89">
        <v>14</v>
      </c>
      <c r="H36" s="89">
        <v>4</v>
      </c>
      <c r="I36" s="89">
        <v>25</v>
      </c>
      <c r="J36" s="89">
        <f>2+1</f>
        <v>3</v>
      </c>
      <c r="K36" s="89">
        <f>24+22</f>
        <v>46</v>
      </c>
      <c r="L36" s="188" t="s">
        <v>15</v>
      </c>
      <c r="M36" s="188" t="s">
        <v>15</v>
      </c>
      <c r="N36" s="188" t="s">
        <v>15</v>
      </c>
      <c r="O36" s="188" t="s">
        <v>15</v>
      </c>
      <c r="P36" s="89">
        <v>1</v>
      </c>
      <c r="Q36" s="89">
        <v>272</v>
      </c>
      <c r="R36" s="188" t="s">
        <v>15</v>
      </c>
      <c r="S36" s="188" t="s">
        <v>15</v>
      </c>
      <c r="T36" s="188" t="s">
        <v>15</v>
      </c>
    </row>
    <row r="37" spans="1:20" ht="16.5" customHeight="1">
      <c r="A37" s="78"/>
      <c r="B37" s="78"/>
      <c r="C37" s="87" t="s">
        <v>136</v>
      </c>
      <c r="D37" s="177">
        <f>F37+H37+J37+L37+N37+P37+R37+T37</f>
        <v>1077</v>
      </c>
      <c r="E37" s="177">
        <f>G37+I37+K37+M37+O37+Q37+S37</f>
        <v>23951</v>
      </c>
      <c r="F37" s="89">
        <v>219</v>
      </c>
      <c r="G37" s="89">
        <v>561</v>
      </c>
      <c r="H37" s="89">
        <v>186</v>
      </c>
      <c r="I37" s="89">
        <v>1289</v>
      </c>
      <c r="J37" s="89">
        <f>272+154</f>
        <v>426</v>
      </c>
      <c r="K37" s="89">
        <f>3802+3682</f>
        <v>7484</v>
      </c>
      <c r="L37" s="89">
        <v>119</v>
      </c>
      <c r="M37" s="89">
        <v>4439</v>
      </c>
      <c r="N37" s="89">
        <v>91</v>
      </c>
      <c r="O37" s="89">
        <v>6155</v>
      </c>
      <c r="P37" s="89">
        <f>26+2</f>
        <v>28</v>
      </c>
      <c r="Q37" s="89">
        <f>3275+443</f>
        <v>3718</v>
      </c>
      <c r="R37" s="89">
        <v>1</v>
      </c>
      <c r="S37" s="89">
        <v>305</v>
      </c>
      <c r="T37" s="89">
        <v>7</v>
      </c>
    </row>
    <row r="38" spans="1:20" s="66" customFormat="1" ht="16.5" customHeight="1">
      <c r="A38" s="344" t="s">
        <v>139</v>
      </c>
      <c r="B38" s="344"/>
      <c r="C38" s="347"/>
      <c r="D38" s="82">
        <f>F38+H38+J38+L38+N38+P38+T38</f>
        <v>510</v>
      </c>
      <c r="E38" s="82">
        <f>G38+I38+K38+M38+O38+Q38</f>
        <v>5465</v>
      </c>
      <c r="F38" s="82">
        <f>F39+F40</f>
        <v>237</v>
      </c>
      <c r="G38" s="82">
        <f aca="true" t="shared" si="5" ref="G38:Q38">G39+G40</f>
        <v>689</v>
      </c>
      <c r="H38" s="82">
        <f t="shared" si="5"/>
        <v>136</v>
      </c>
      <c r="I38" s="82">
        <f t="shared" si="5"/>
        <v>829</v>
      </c>
      <c r="J38" s="82">
        <f t="shared" si="5"/>
        <v>105</v>
      </c>
      <c r="K38" s="82">
        <f t="shared" si="5"/>
        <v>1622</v>
      </c>
      <c r="L38" s="82">
        <f t="shared" si="5"/>
        <v>9</v>
      </c>
      <c r="M38" s="82">
        <f t="shared" si="5"/>
        <v>330</v>
      </c>
      <c r="N38" s="82">
        <f t="shared" si="5"/>
        <v>12</v>
      </c>
      <c r="O38" s="82">
        <f t="shared" si="5"/>
        <v>876</v>
      </c>
      <c r="P38" s="82">
        <f t="shared" si="5"/>
        <v>7</v>
      </c>
      <c r="Q38" s="82">
        <f t="shared" si="5"/>
        <v>1119</v>
      </c>
      <c r="R38" s="123" t="s">
        <v>15</v>
      </c>
      <c r="S38" s="123" t="s">
        <v>15</v>
      </c>
      <c r="T38" s="82">
        <f>T39+T40</f>
        <v>4</v>
      </c>
    </row>
    <row r="39" spans="1:20" ht="16.5" customHeight="1">
      <c r="A39" s="78"/>
      <c r="B39" s="78"/>
      <c r="C39" s="87" t="s">
        <v>140</v>
      </c>
      <c r="D39" s="177">
        <f>F39+H39+J39+L39+N39+P39+T39</f>
        <v>324</v>
      </c>
      <c r="E39" s="177">
        <f>G39+I39+K39+M39+O39+Q39</f>
        <v>2100</v>
      </c>
      <c r="F39" s="89">
        <v>193</v>
      </c>
      <c r="G39" s="89">
        <v>580</v>
      </c>
      <c r="H39" s="89">
        <v>93</v>
      </c>
      <c r="I39" s="89">
        <v>548</v>
      </c>
      <c r="J39" s="89">
        <f>25+5</f>
        <v>30</v>
      </c>
      <c r="K39" s="89">
        <f>310+111</f>
        <v>421</v>
      </c>
      <c r="L39" s="89">
        <v>3</v>
      </c>
      <c r="M39" s="89">
        <v>109</v>
      </c>
      <c r="N39" s="89">
        <v>3</v>
      </c>
      <c r="O39" s="89">
        <v>232</v>
      </c>
      <c r="P39" s="89">
        <v>1</v>
      </c>
      <c r="Q39" s="89">
        <v>210</v>
      </c>
      <c r="R39" s="188" t="s">
        <v>15</v>
      </c>
      <c r="S39" s="188" t="s">
        <v>15</v>
      </c>
      <c r="T39" s="89">
        <v>1</v>
      </c>
    </row>
    <row r="40" spans="1:20" ht="16.5" customHeight="1">
      <c r="A40" s="78"/>
      <c r="B40" s="78"/>
      <c r="C40" s="87" t="s">
        <v>0</v>
      </c>
      <c r="D40" s="177">
        <f>F40+H40+J40+L40+N40+P40+T40</f>
        <v>186</v>
      </c>
      <c r="E40" s="177">
        <f>G40+I40+K40+M40+O40+Q40</f>
        <v>3365</v>
      </c>
      <c r="F40" s="89">
        <v>44</v>
      </c>
      <c r="G40" s="89">
        <v>109</v>
      </c>
      <c r="H40" s="89">
        <v>43</v>
      </c>
      <c r="I40" s="89">
        <v>281</v>
      </c>
      <c r="J40" s="89">
        <f>56+19</f>
        <v>75</v>
      </c>
      <c r="K40" s="89">
        <f>777+424</f>
        <v>1201</v>
      </c>
      <c r="L40" s="89">
        <v>6</v>
      </c>
      <c r="M40" s="89">
        <v>221</v>
      </c>
      <c r="N40" s="89">
        <v>9</v>
      </c>
      <c r="O40" s="89">
        <v>644</v>
      </c>
      <c r="P40" s="89">
        <f>5+1</f>
        <v>6</v>
      </c>
      <c r="Q40" s="89">
        <f>660+249</f>
        <v>909</v>
      </c>
      <c r="R40" s="188" t="s">
        <v>15</v>
      </c>
      <c r="S40" s="188" t="s">
        <v>15</v>
      </c>
      <c r="T40" s="89">
        <v>3</v>
      </c>
    </row>
    <row r="41" spans="1:20" s="66" customFormat="1" ht="16.5" customHeight="1">
      <c r="A41" s="344" t="s">
        <v>1</v>
      </c>
      <c r="B41" s="344"/>
      <c r="C41" s="347"/>
      <c r="D41" s="82">
        <f>F41+H41+J41+L41+N41+P41+R41+T41</f>
        <v>4814</v>
      </c>
      <c r="E41" s="82">
        <f>G41+I41+K41+M41+O41+Q41+S41</f>
        <v>41107</v>
      </c>
      <c r="F41" s="82">
        <f>SUM(F42:F49)</f>
        <v>3228</v>
      </c>
      <c r="G41" s="82">
        <f aca="true" t="shared" si="6" ref="G41:T41">SUM(G42:G49)</f>
        <v>6503</v>
      </c>
      <c r="H41" s="82">
        <f t="shared" si="6"/>
        <v>616</v>
      </c>
      <c r="I41" s="82">
        <f t="shared" si="6"/>
        <v>3980</v>
      </c>
      <c r="J41" s="82">
        <f t="shared" si="6"/>
        <v>422</v>
      </c>
      <c r="K41" s="82">
        <f t="shared" si="6"/>
        <v>6845</v>
      </c>
      <c r="L41" s="82">
        <f t="shared" si="6"/>
        <v>105</v>
      </c>
      <c r="M41" s="82">
        <f t="shared" si="6"/>
        <v>4022</v>
      </c>
      <c r="N41" s="82">
        <f t="shared" si="6"/>
        <v>65</v>
      </c>
      <c r="O41" s="82">
        <f t="shared" si="6"/>
        <v>4695</v>
      </c>
      <c r="P41" s="82">
        <f t="shared" si="6"/>
        <v>60</v>
      </c>
      <c r="Q41" s="82">
        <f t="shared" si="6"/>
        <v>9530</v>
      </c>
      <c r="R41" s="82">
        <f t="shared" si="6"/>
        <v>10</v>
      </c>
      <c r="S41" s="82">
        <f t="shared" si="6"/>
        <v>5532</v>
      </c>
      <c r="T41" s="82">
        <f t="shared" si="6"/>
        <v>308</v>
      </c>
    </row>
    <row r="42" spans="1:20" ht="16.5" customHeight="1">
      <c r="A42" s="78"/>
      <c r="B42" s="78"/>
      <c r="C42" s="87" t="s">
        <v>160</v>
      </c>
      <c r="D42" s="177">
        <f>F42+H42+J42+L42+N42+P42+T42</f>
        <v>186</v>
      </c>
      <c r="E42" s="177">
        <f>G42+I42+K42+M42+O42+Q42</f>
        <v>2827</v>
      </c>
      <c r="F42" s="89">
        <v>59</v>
      </c>
      <c r="G42" s="89">
        <v>152</v>
      </c>
      <c r="H42" s="89">
        <v>42</v>
      </c>
      <c r="I42" s="89">
        <v>277</v>
      </c>
      <c r="J42" s="89">
        <f>47+10</f>
        <v>57</v>
      </c>
      <c r="K42" s="89">
        <f>638+243</f>
        <v>881</v>
      </c>
      <c r="L42" s="89">
        <v>16</v>
      </c>
      <c r="M42" s="89">
        <v>556</v>
      </c>
      <c r="N42" s="89">
        <v>4</v>
      </c>
      <c r="O42" s="89">
        <v>258</v>
      </c>
      <c r="P42" s="89">
        <v>5</v>
      </c>
      <c r="Q42" s="89">
        <v>703</v>
      </c>
      <c r="R42" s="188" t="s">
        <v>15</v>
      </c>
      <c r="S42" s="188" t="s">
        <v>15</v>
      </c>
      <c r="T42" s="89">
        <v>3</v>
      </c>
    </row>
    <row r="43" spans="1:20" ht="16.5" customHeight="1">
      <c r="A43" s="78"/>
      <c r="B43" s="78"/>
      <c r="C43" s="87" t="s">
        <v>2</v>
      </c>
      <c r="D43" s="177">
        <f>F43+H43+J43+L43+P43</f>
        <v>577</v>
      </c>
      <c r="E43" s="177">
        <f>G43+I43+K43+M43+Q43</f>
        <v>2632</v>
      </c>
      <c r="F43" s="89">
        <v>402</v>
      </c>
      <c r="G43" s="89">
        <v>919</v>
      </c>
      <c r="H43" s="89">
        <v>129</v>
      </c>
      <c r="I43" s="89">
        <v>826</v>
      </c>
      <c r="J43" s="89">
        <f>36+4</f>
        <v>40</v>
      </c>
      <c r="K43" s="89">
        <f>448+96</f>
        <v>544</v>
      </c>
      <c r="L43" s="89">
        <v>5</v>
      </c>
      <c r="M43" s="89">
        <v>224</v>
      </c>
      <c r="N43" s="188" t="s">
        <v>15</v>
      </c>
      <c r="O43" s="188" t="s">
        <v>15</v>
      </c>
      <c r="P43" s="89">
        <v>1</v>
      </c>
      <c r="Q43" s="89">
        <v>119</v>
      </c>
      <c r="R43" s="188" t="s">
        <v>15</v>
      </c>
      <c r="S43" s="188" t="s">
        <v>15</v>
      </c>
      <c r="T43" s="188" t="s">
        <v>15</v>
      </c>
    </row>
    <row r="44" spans="1:20" ht="16.5" customHeight="1">
      <c r="A44" s="78"/>
      <c r="B44" s="78"/>
      <c r="C44" s="87" t="s">
        <v>237</v>
      </c>
      <c r="D44" s="177">
        <f>F44+H44+J44+L44+N44+P44+T44</f>
        <v>450</v>
      </c>
      <c r="E44" s="177">
        <f>G44+I44+K44+M44+O44+Q44</f>
        <v>2330</v>
      </c>
      <c r="F44" s="89">
        <v>327</v>
      </c>
      <c r="G44" s="89">
        <v>637</v>
      </c>
      <c r="H44" s="89">
        <v>61</v>
      </c>
      <c r="I44" s="89">
        <v>382</v>
      </c>
      <c r="J44" s="89">
        <f>37+13</f>
        <v>50</v>
      </c>
      <c r="K44" s="89">
        <f>524+305</f>
        <v>829</v>
      </c>
      <c r="L44" s="89">
        <v>8</v>
      </c>
      <c r="M44" s="89">
        <v>304</v>
      </c>
      <c r="N44" s="89">
        <v>1</v>
      </c>
      <c r="O44" s="89">
        <v>57</v>
      </c>
      <c r="P44" s="89">
        <v>1</v>
      </c>
      <c r="Q44" s="89">
        <v>121</v>
      </c>
      <c r="R44" s="188" t="s">
        <v>15</v>
      </c>
      <c r="S44" s="188" t="s">
        <v>15</v>
      </c>
      <c r="T44" s="89">
        <v>2</v>
      </c>
    </row>
    <row r="45" spans="1:20" ht="16.5" customHeight="1">
      <c r="A45" s="78"/>
      <c r="B45" s="78"/>
      <c r="C45" s="87" t="s">
        <v>238</v>
      </c>
      <c r="D45" s="177">
        <f>F45+H45+J45+L45+N45+P45+R45+T45</f>
        <v>213</v>
      </c>
      <c r="E45" s="177">
        <f>G45+I45+K45+M45+O45+Q45+S45</f>
        <v>9450</v>
      </c>
      <c r="F45" s="89">
        <v>64</v>
      </c>
      <c r="G45" s="89">
        <v>140</v>
      </c>
      <c r="H45" s="89">
        <v>41</v>
      </c>
      <c r="I45" s="89">
        <v>263</v>
      </c>
      <c r="J45" s="89">
        <f>31+13</f>
        <v>44</v>
      </c>
      <c r="K45" s="89">
        <f>442+318</f>
        <v>760</v>
      </c>
      <c r="L45" s="89">
        <v>16</v>
      </c>
      <c r="M45" s="89">
        <v>572</v>
      </c>
      <c r="N45" s="89">
        <v>18</v>
      </c>
      <c r="O45" s="89">
        <v>1362</v>
      </c>
      <c r="P45" s="89">
        <f>15+5</f>
        <v>20</v>
      </c>
      <c r="Q45" s="89">
        <f>2140+1269</f>
        <v>3409</v>
      </c>
      <c r="R45" s="89">
        <v>6</v>
      </c>
      <c r="S45" s="89">
        <v>2944</v>
      </c>
      <c r="T45" s="89">
        <v>4</v>
      </c>
    </row>
    <row r="46" spans="1:20" ht="16.5" customHeight="1">
      <c r="A46" s="78"/>
      <c r="B46" s="78"/>
      <c r="C46" s="87" t="s">
        <v>161</v>
      </c>
      <c r="D46" s="177">
        <f>F46+H46+J46+L46+N46+P46+R46+T46</f>
        <v>729</v>
      </c>
      <c r="E46" s="177">
        <f>G46+I46+K46+M46+O46+Q46+S46</f>
        <v>16626</v>
      </c>
      <c r="F46" s="89">
        <v>298</v>
      </c>
      <c r="G46" s="89">
        <v>614</v>
      </c>
      <c r="H46" s="89">
        <v>143</v>
      </c>
      <c r="I46" s="89">
        <v>963</v>
      </c>
      <c r="J46" s="89">
        <f>99+50</f>
        <v>149</v>
      </c>
      <c r="K46" s="89">
        <f>1336+1211</f>
        <v>2547</v>
      </c>
      <c r="L46" s="89">
        <v>52</v>
      </c>
      <c r="M46" s="89">
        <v>2060</v>
      </c>
      <c r="N46" s="89">
        <v>37</v>
      </c>
      <c r="O46" s="89">
        <v>2676</v>
      </c>
      <c r="P46" s="89">
        <f>24+9</f>
        <v>33</v>
      </c>
      <c r="Q46" s="89">
        <f>3153+2025</f>
        <v>5178</v>
      </c>
      <c r="R46" s="89">
        <v>4</v>
      </c>
      <c r="S46" s="89">
        <v>2588</v>
      </c>
      <c r="T46" s="89">
        <v>13</v>
      </c>
    </row>
    <row r="47" spans="1:20" ht="16.5" customHeight="1">
      <c r="A47" s="78"/>
      <c r="B47" s="78"/>
      <c r="C47" s="87" t="s">
        <v>162</v>
      </c>
      <c r="D47" s="177">
        <f>F47+H47+J47+L47+N47+T47</f>
        <v>743</v>
      </c>
      <c r="E47" s="177">
        <f>G47+I47+K47+M47+O47</f>
        <v>2643</v>
      </c>
      <c r="F47" s="89">
        <v>539</v>
      </c>
      <c r="G47" s="89">
        <v>928</v>
      </c>
      <c r="H47" s="89">
        <v>75</v>
      </c>
      <c r="I47" s="89">
        <v>475</v>
      </c>
      <c r="J47" s="89">
        <f>39+11</f>
        <v>50</v>
      </c>
      <c r="K47" s="89">
        <f>507+258</f>
        <v>765</v>
      </c>
      <c r="L47" s="89">
        <v>5</v>
      </c>
      <c r="M47" s="89">
        <v>200</v>
      </c>
      <c r="N47" s="89">
        <v>4</v>
      </c>
      <c r="O47" s="89">
        <v>275</v>
      </c>
      <c r="P47" s="188" t="s">
        <v>15</v>
      </c>
      <c r="Q47" s="188" t="s">
        <v>15</v>
      </c>
      <c r="R47" s="188" t="s">
        <v>15</v>
      </c>
      <c r="S47" s="188" t="s">
        <v>15</v>
      </c>
      <c r="T47" s="89">
        <v>70</v>
      </c>
    </row>
    <row r="48" spans="1:20" ht="16.5" customHeight="1">
      <c r="A48" s="78"/>
      <c r="B48" s="78"/>
      <c r="C48" s="87" t="s">
        <v>163</v>
      </c>
      <c r="D48" s="177">
        <f>F48+H48+J48+L48+N48+T48</f>
        <v>1874</v>
      </c>
      <c r="E48" s="177">
        <f>G48+I48+K48+M48+O48</f>
        <v>4413</v>
      </c>
      <c r="F48" s="89">
        <v>1515</v>
      </c>
      <c r="G48" s="89">
        <v>3064</v>
      </c>
      <c r="H48" s="89">
        <v>119</v>
      </c>
      <c r="I48" s="89">
        <v>752</v>
      </c>
      <c r="J48" s="89">
        <f>18+7</f>
        <v>25</v>
      </c>
      <c r="K48" s="89">
        <f>252+172</f>
        <v>424</v>
      </c>
      <c r="L48" s="89">
        <v>3</v>
      </c>
      <c r="M48" s="89">
        <v>106</v>
      </c>
      <c r="N48" s="89">
        <v>1</v>
      </c>
      <c r="O48" s="89">
        <v>67</v>
      </c>
      <c r="P48" s="188" t="s">
        <v>15</v>
      </c>
      <c r="Q48" s="188" t="s">
        <v>15</v>
      </c>
      <c r="R48" s="188" t="s">
        <v>15</v>
      </c>
      <c r="S48" s="188" t="s">
        <v>15</v>
      </c>
      <c r="T48" s="89">
        <v>211</v>
      </c>
    </row>
    <row r="49" spans="1:20" ht="16.5" customHeight="1">
      <c r="A49" s="91"/>
      <c r="B49" s="91"/>
      <c r="C49" s="92" t="s">
        <v>164</v>
      </c>
      <c r="D49" s="191">
        <f>F49+H49+J49+T49</f>
        <v>42</v>
      </c>
      <c r="E49" s="192">
        <f>G49+I49+K49</f>
        <v>186</v>
      </c>
      <c r="F49" s="94">
        <v>24</v>
      </c>
      <c r="G49" s="94">
        <v>49</v>
      </c>
      <c r="H49" s="94">
        <v>6</v>
      </c>
      <c r="I49" s="94">
        <v>42</v>
      </c>
      <c r="J49" s="94">
        <v>7</v>
      </c>
      <c r="K49" s="94">
        <v>95</v>
      </c>
      <c r="L49" s="193" t="s">
        <v>15</v>
      </c>
      <c r="M49" s="193" t="s">
        <v>15</v>
      </c>
      <c r="N49" s="193" t="s">
        <v>15</v>
      </c>
      <c r="O49" s="193" t="s">
        <v>15</v>
      </c>
      <c r="P49" s="193" t="s">
        <v>15</v>
      </c>
      <c r="Q49" s="193" t="s">
        <v>15</v>
      </c>
      <c r="R49" s="193" t="s">
        <v>15</v>
      </c>
      <c r="S49" s="193" t="s">
        <v>15</v>
      </c>
      <c r="T49" s="94">
        <v>5</v>
      </c>
    </row>
    <row r="50" spans="1:3" ht="15.75" customHeight="1">
      <c r="A50" s="78" t="s">
        <v>240</v>
      </c>
      <c r="B50" s="78"/>
      <c r="C50" s="78"/>
    </row>
    <row r="51" spans="2:20" ht="14.25" customHeight="1">
      <c r="B51" s="78"/>
      <c r="C51" s="78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3" ht="12.75">
      <c r="A52" s="78"/>
      <c r="B52" s="78"/>
      <c r="C52" s="78"/>
    </row>
    <row r="53" spans="4:19" ht="12.75"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</sheetData>
  <sheetProtection/>
  <mergeCells count="42">
    <mergeCell ref="A41:C41"/>
    <mergeCell ref="A38:C38"/>
    <mergeCell ref="F4:G4"/>
    <mergeCell ref="G5:G6"/>
    <mergeCell ref="A9:C9"/>
    <mergeCell ref="A26:C26"/>
    <mergeCell ref="A34:C34"/>
    <mergeCell ref="A27:C27"/>
    <mergeCell ref="A28:C28"/>
    <mergeCell ref="A11:C11"/>
    <mergeCell ref="J5:J6"/>
    <mergeCell ref="K5:K6"/>
    <mergeCell ref="M5:M6"/>
    <mergeCell ref="A4:C6"/>
    <mergeCell ref="D4:E4"/>
    <mergeCell ref="H4:I4"/>
    <mergeCell ref="A2:T2"/>
    <mergeCell ref="B12:C12"/>
    <mergeCell ref="A8:C8"/>
    <mergeCell ref="A10:C10"/>
    <mergeCell ref="J4:K4"/>
    <mergeCell ref="L4:M4"/>
    <mergeCell ref="H5:H6"/>
    <mergeCell ref="I5:I6"/>
    <mergeCell ref="D5:D6"/>
    <mergeCell ref="T5:T6"/>
    <mergeCell ref="R4:S4"/>
    <mergeCell ref="L5:L6"/>
    <mergeCell ref="N5:N6"/>
    <mergeCell ref="O5:O6"/>
    <mergeCell ref="P5:P6"/>
    <mergeCell ref="Q5:Q6"/>
    <mergeCell ref="R5:R6"/>
    <mergeCell ref="N4:O4"/>
    <mergeCell ref="P4:Q4"/>
    <mergeCell ref="S5:S6"/>
    <mergeCell ref="A30:C30"/>
    <mergeCell ref="A31:C31"/>
    <mergeCell ref="F5:F6"/>
    <mergeCell ref="E5:E6"/>
    <mergeCell ref="B19:C19"/>
    <mergeCell ref="A29:C29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おもて</cp:lastModifiedBy>
  <cp:lastPrinted>2011-12-02T08:56:14Z</cp:lastPrinted>
  <dcterms:created xsi:type="dcterms:W3CDTF">2010-04-10T07:06:44Z</dcterms:created>
  <dcterms:modified xsi:type="dcterms:W3CDTF">2012-12-14T08:01:03Z</dcterms:modified>
  <cp:category/>
  <cp:version/>
  <cp:contentType/>
  <cp:contentStatus/>
</cp:coreProperties>
</file>